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5015" windowHeight="7770" tabRatio="734" firstSheet="4" activeTab="4"/>
  </bookViews>
  <sheets>
    <sheet name="выдача техусл" sheetId="1" r:id="rId1"/>
    <sheet name="фактич.действия" sheetId="2" r:id="rId2"/>
    <sheet name="табл1-3" sheetId="3" r:id="rId3"/>
    <sheet name="табл 4" sheetId="4" r:id="rId4"/>
    <sheet name="табл 5-6" sheetId="5" r:id="rId5"/>
    <sheet name="табл 7" sheetId="6" r:id="rId6"/>
    <sheet name="проверка выполнения техусловий" sheetId="7" r:id="rId7"/>
    <sheet name="Осмотр Ростехнадзором" sheetId="8" r:id="rId8"/>
    <sheet name="хронометраж" sheetId="9" r:id="rId9"/>
    <sheet name="зарплата" sheetId="10" r:id="rId10"/>
    <sheet name="Расчет НВВ" sheetId="11" r:id="rId11"/>
    <sheet name="НВВ на 1кВт" sheetId="12" r:id="rId12"/>
    <sheet name="Кальк.мероприятий" sheetId="13" r:id="rId13"/>
    <sheet name="прилож №5" sheetId="14" r:id="rId14"/>
  </sheets>
  <externalReferences>
    <externalReference r:id="rId17"/>
  </externalReferences>
  <definedNames/>
  <calcPr fullCalcOnLoad="1"/>
</workbook>
</file>

<file path=xl/comments5.xml><?xml version="1.0" encoding="utf-8"?>
<comments xmlns="http://schemas.openxmlformats.org/spreadsheetml/2006/main">
  <authors>
    <author>Инна</author>
  </authors>
  <commentList>
    <comment ref="L1" authorId="0">
      <text>
        <r>
          <rPr>
            <b/>
            <sz val="8"/>
            <rFont val="Tahoma"/>
            <family val="0"/>
          </rPr>
          <t>Инна:</t>
        </r>
        <r>
          <rPr>
            <sz val="8"/>
            <rFont val="Tahoma"/>
            <family val="0"/>
          </rPr>
          <t xml:space="preserve">
для РЭКа скрыть колонку
</t>
        </r>
      </text>
    </comment>
  </commentList>
</comments>
</file>

<file path=xl/sharedStrings.xml><?xml version="1.0" encoding="utf-8"?>
<sst xmlns="http://schemas.openxmlformats.org/spreadsheetml/2006/main" count="1004" uniqueCount="435">
  <si>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</si>
  <si>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</si>
  <si>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КАЛЬКУЛЯЦИЯ</t>
  </si>
  <si>
    <t>Зарплата водителя</t>
  </si>
  <si>
    <t>руб.</t>
  </si>
  <si>
    <t>Расчет</t>
  </si>
  <si>
    <t>п.3* 0,26</t>
  </si>
  <si>
    <t>п.2* 0,26</t>
  </si>
  <si>
    <t>Статьи затрат</t>
  </si>
  <si>
    <t>Ед.изм.</t>
  </si>
  <si>
    <t>№ п/п</t>
  </si>
  <si>
    <t>НДС</t>
  </si>
  <si>
    <t>Стоимость работы</t>
  </si>
  <si>
    <t>на технологическое присоединение</t>
  </si>
  <si>
    <t>Прибыль</t>
  </si>
  <si>
    <t>п.1* 0,26</t>
  </si>
  <si>
    <t>Зарплата мастера участка</t>
  </si>
  <si>
    <t>Зарплата электромонтеров (2 чел. по 4 разр.)</t>
  </si>
  <si>
    <t>(10345+10345/12)/165</t>
  </si>
  <si>
    <t>(15080+15080/12)/165</t>
  </si>
  <si>
    <t>Итого затрат</t>
  </si>
  <si>
    <t xml:space="preserve">Всего </t>
  </si>
  <si>
    <t>Всего</t>
  </si>
  <si>
    <t>0,18л.*180км* 17,5руб.</t>
  </si>
  <si>
    <t>5 л.* 17,5</t>
  </si>
  <si>
    <t>(9300+9300/12)/165</t>
  </si>
  <si>
    <r>
      <t xml:space="preserve">                                                              </t>
    </r>
    <r>
      <rPr>
        <b/>
        <sz val="14"/>
        <rFont val="Times New Roman"/>
        <family val="1"/>
      </rPr>
      <t xml:space="preserve">" Утверждаю" </t>
    </r>
  </si>
  <si>
    <t>((4282*1,7+(4282*1,7)/12))/165</t>
  </si>
  <si>
    <t>(4282*1,75+4282*1,75/12))/165</t>
  </si>
  <si>
    <t>З/пл в мес.</t>
  </si>
  <si>
    <t>Премия</t>
  </si>
  <si>
    <t>Всего в месяц</t>
  </si>
  <si>
    <t>Итого в час</t>
  </si>
  <si>
    <t>Количество часов в мес.</t>
  </si>
  <si>
    <t>Водитель</t>
  </si>
  <si>
    <t>Электромонтер</t>
  </si>
  <si>
    <t>Мастер участка</t>
  </si>
  <si>
    <t>%%</t>
  </si>
  <si>
    <t>(гр.2+гр.4+гр.5)</t>
  </si>
  <si>
    <t>гр.6 / гр.7</t>
  </si>
  <si>
    <t>час.</t>
  </si>
  <si>
    <t>30 мин.</t>
  </si>
  <si>
    <t>45 мин.</t>
  </si>
  <si>
    <t>1 час</t>
  </si>
  <si>
    <t>20 мин.</t>
  </si>
  <si>
    <t>40 мин.</t>
  </si>
  <si>
    <t>Итого</t>
  </si>
  <si>
    <t>Проверка разработанных технических условий на технологическое присоединение</t>
  </si>
  <si>
    <t xml:space="preserve">Водитель </t>
  </si>
  <si>
    <t>Время ожидания</t>
  </si>
  <si>
    <t>Замер токовых нагрузок и напряжения в сети предполагаемого присоединения</t>
  </si>
  <si>
    <t>Выписка наряда-допуска</t>
  </si>
  <si>
    <t>Осуществление контроля за производством работ по технологическому присоединению</t>
  </si>
  <si>
    <t>Работа автогидроподъемника</t>
  </si>
  <si>
    <t>Доставка электромонтеров, материалов и оборудования к месту работ и обратно</t>
  </si>
  <si>
    <t>2 часа</t>
  </si>
  <si>
    <t>мин.</t>
  </si>
  <si>
    <t>чел.ч.</t>
  </si>
  <si>
    <t xml:space="preserve">Проверка выполнения технических условий по технол. присоединению </t>
  </si>
  <si>
    <t>15 мин.</t>
  </si>
  <si>
    <t xml:space="preserve">Устройство ответвлений от ВЛ 0,4 кВ к зданиям </t>
  </si>
  <si>
    <t>Хронометраж работ</t>
  </si>
  <si>
    <t xml:space="preserve">по выдаче технических условий </t>
  </si>
  <si>
    <t xml:space="preserve">Хронометраж работ </t>
  </si>
  <si>
    <t xml:space="preserve">по проверке выполнения технических условий </t>
  </si>
  <si>
    <t>Зам. главного инженера</t>
  </si>
  <si>
    <t>Ознакомление с заявкой на выдачу технических условий на техн. присоединение, рассмотрение поопорной схемы предполагаемого присоединения</t>
  </si>
  <si>
    <t>Расчет по зарплате</t>
  </si>
  <si>
    <t>для калькуляций на технологическое присоединение</t>
  </si>
  <si>
    <t>энергопринимающих устройств юридических и физических лиц</t>
  </si>
  <si>
    <t>Главный экономист:</t>
  </si>
  <si>
    <t>Т.В.Луконькина</t>
  </si>
  <si>
    <t>Инженер ПТО</t>
  </si>
  <si>
    <t>Начальник ПТО</t>
  </si>
  <si>
    <t>Зарплата начальника ПТО</t>
  </si>
  <si>
    <r>
      <t xml:space="preserve">                                           </t>
    </r>
    <r>
      <rPr>
        <b/>
        <sz val="14"/>
        <rFont val="Times New Roman"/>
        <family val="1"/>
      </rPr>
      <t xml:space="preserve">" Утверждаю" </t>
    </r>
  </si>
  <si>
    <t>Г.Ф.Бородачев</t>
  </si>
  <si>
    <t>к электрическим сетям  ОАО "Мордовская</t>
  </si>
  <si>
    <t>электротеплосетевая компания"</t>
  </si>
  <si>
    <t>Зарплата инженера ПТО</t>
  </si>
  <si>
    <t>1 час 40 мин.</t>
  </si>
  <si>
    <t>1 час 30 мин.</t>
  </si>
  <si>
    <t>1 часа 30 мин.</t>
  </si>
  <si>
    <t xml:space="preserve">                                               ОАО "Мордовэлектротеплосеть"</t>
  </si>
  <si>
    <t xml:space="preserve">                              ОАО "Мордовэлектротеплосеть"</t>
  </si>
  <si>
    <t xml:space="preserve">                             ОАО "Мордовэлектротеплосеть"</t>
  </si>
  <si>
    <t xml:space="preserve">                                                                                                                                    </t>
  </si>
  <si>
    <t xml:space="preserve">            </t>
  </si>
  <si>
    <t>Главный экономист</t>
  </si>
  <si>
    <t xml:space="preserve">                              Генеральный директор</t>
  </si>
  <si>
    <t xml:space="preserve">                             Генеральный директор</t>
  </si>
  <si>
    <t xml:space="preserve">                            __________________ А.А.Тимофеев</t>
  </si>
  <si>
    <t xml:space="preserve">                                               Генеральный директор</t>
  </si>
  <si>
    <t xml:space="preserve">                            __________________А.А.Тимофеев </t>
  </si>
  <si>
    <t xml:space="preserve">                                               __________________ А.А.Тимофеев</t>
  </si>
  <si>
    <t xml:space="preserve">проверки выполнения заявителем технических условий на </t>
  </si>
  <si>
    <t>Вспомогательные материалы (ГСМ)</t>
  </si>
  <si>
    <t>13 и 14 з/пл</t>
  </si>
  <si>
    <t xml:space="preserve">                                              "____"   _______________   2014 г.</t>
  </si>
  <si>
    <t>Расчёт  расходов  по разработке технических условий</t>
  </si>
  <si>
    <t xml:space="preserve">           Расчёт  расходов </t>
  </si>
  <si>
    <t>по ОАО "Мордовская электротеплосетевая компания"</t>
  </si>
  <si>
    <t xml:space="preserve">                    по проверке выполнения  заявителем ТУ</t>
  </si>
  <si>
    <t>Таблица 1</t>
  </si>
  <si>
    <t>Таблица 2</t>
  </si>
  <si>
    <t>№№</t>
  </si>
  <si>
    <t>Состав работ</t>
  </si>
  <si>
    <t>Количество</t>
  </si>
  <si>
    <t>Количество заявок на выдачу   ТУ</t>
  </si>
  <si>
    <t>шт.</t>
  </si>
  <si>
    <t>Количество выданных ТУ</t>
  </si>
  <si>
    <t>Затраты на выдачу одного ТУ</t>
  </si>
  <si>
    <t xml:space="preserve">Затраты на проверку </t>
  </si>
  <si>
    <t>выполнения одного ТУ</t>
  </si>
  <si>
    <t>Суммарные затраты</t>
  </si>
  <si>
    <t>на выдачу ТУ</t>
  </si>
  <si>
    <t>на проверку ТУ</t>
  </si>
  <si>
    <t>Расчёт  расходов по фактическим действиям</t>
  </si>
  <si>
    <t xml:space="preserve"> по технологическому присоединению</t>
  </si>
  <si>
    <t>Таблица 3</t>
  </si>
  <si>
    <t xml:space="preserve">Количество технологических </t>
  </si>
  <si>
    <t>присоединений</t>
  </si>
  <si>
    <t>Затраты по выполнению</t>
  </si>
  <si>
    <t>действий по техприсоединению</t>
  </si>
  <si>
    <t>одного заявителя</t>
  </si>
  <si>
    <t xml:space="preserve">на выполнение действий по </t>
  </si>
  <si>
    <t>присоединению</t>
  </si>
  <si>
    <t xml:space="preserve">                                                                                                  </t>
  </si>
  <si>
    <t xml:space="preserve">             Главный экономист:</t>
  </si>
  <si>
    <t xml:space="preserve">                                              Расчёт  расходов по выполнению  действий по присоединению</t>
  </si>
  <si>
    <t>Таблица 4</t>
  </si>
  <si>
    <t>до 15 кВт</t>
  </si>
  <si>
    <t>от 15 до</t>
  </si>
  <si>
    <t>от 150 до</t>
  </si>
  <si>
    <t xml:space="preserve">более </t>
  </si>
  <si>
    <t>Наименование</t>
  </si>
  <si>
    <t xml:space="preserve">Суммарные </t>
  </si>
  <si>
    <t>150 кВт</t>
  </si>
  <si>
    <t>670 кВт</t>
  </si>
  <si>
    <t>расходы, руб.</t>
  </si>
  <si>
    <t>1-0,4 кВ</t>
  </si>
  <si>
    <t>6-10 кВ</t>
  </si>
  <si>
    <t>Разработка ТУ</t>
  </si>
  <si>
    <t>Проверка выполнения</t>
  </si>
  <si>
    <t>ТУ</t>
  </si>
  <si>
    <t xml:space="preserve">Фактичекие действия по </t>
  </si>
  <si>
    <t>Итого расходы</t>
  </si>
  <si>
    <t xml:space="preserve">           Главный экономист:</t>
  </si>
  <si>
    <t>Таблица 5</t>
  </si>
  <si>
    <t xml:space="preserve">Наименование </t>
  </si>
  <si>
    <t>Напряжение</t>
  </si>
  <si>
    <t>Ожидаемое кол-</t>
  </si>
  <si>
    <t>Суммарная</t>
  </si>
  <si>
    <t>Планируемые расходы, руб.</t>
  </si>
  <si>
    <t>Коэффициент</t>
  </si>
  <si>
    <t>Ставка</t>
  </si>
  <si>
    <t>категорий</t>
  </si>
  <si>
    <t>присоединения,</t>
  </si>
  <si>
    <t>во выданных ТУ</t>
  </si>
  <si>
    <t>мощность</t>
  </si>
  <si>
    <t xml:space="preserve">                                                  Сетевой компании</t>
  </si>
  <si>
    <t>рентабель-</t>
  </si>
  <si>
    <t>платы за</t>
  </si>
  <si>
    <t>присоединения</t>
  </si>
  <si>
    <t>кВ</t>
  </si>
  <si>
    <t>(заключенных</t>
  </si>
  <si>
    <t>присоединений,</t>
  </si>
  <si>
    <t xml:space="preserve">       расходы на присоединение, Р</t>
  </si>
  <si>
    <t xml:space="preserve">ности </t>
  </si>
  <si>
    <t>тех.присоединение</t>
  </si>
  <si>
    <t>договоров),шт.</t>
  </si>
  <si>
    <t>(N) кВт</t>
  </si>
  <si>
    <t xml:space="preserve">прочие </t>
  </si>
  <si>
    <t>капитальные</t>
  </si>
  <si>
    <t>итого</t>
  </si>
  <si>
    <t>Кп</t>
  </si>
  <si>
    <t>1 кВт (С),</t>
  </si>
  <si>
    <t>расходы (ПР)</t>
  </si>
  <si>
    <t>вложения (КВ)</t>
  </si>
  <si>
    <t>(Р)</t>
  </si>
  <si>
    <t>(без НДС)</t>
  </si>
  <si>
    <t>руб/квт</t>
  </si>
  <si>
    <t>от 15 до 150 кВт</t>
  </si>
  <si>
    <t>1-0,4</t>
  </si>
  <si>
    <t xml:space="preserve"> от 150 до 670 кВт</t>
  </si>
  <si>
    <t>6-10</t>
  </si>
  <si>
    <t xml:space="preserve">                     </t>
  </si>
  <si>
    <t>более 670 кВт</t>
  </si>
  <si>
    <t>ВСЕГО</t>
  </si>
  <si>
    <t>Х</t>
  </si>
  <si>
    <t>Таблица 6</t>
  </si>
  <si>
    <t>Оценка</t>
  </si>
  <si>
    <t>Сумма</t>
  </si>
  <si>
    <t>выпадающих</t>
  </si>
  <si>
    <t>технологическое</t>
  </si>
  <si>
    <t>присоединение,</t>
  </si>
  <si>
    <t>доходов,</t>
  </si>
  <si>
    <t>присоединение</t>
  </si>
  <si>
    <t>расходы</t>
  </si>
  <si>
    <t>1 кВт,</t>
  </si>
  <si>
    <t>(5,5 МРОТ)</t>
  </si>
  <si>
    <t>(ПР)</t>
  </si>
  <si>
    <t>руб/квт (без НДС)</t>
  </si>
  <si>
    <t xml:space="preserve"> с НДС</t>
  </si>
  <si>
    <t>Заявители</t>
  </si>
  <si>
    <t xml:space="preserve"> до 15 кВт</t>
  </si>
  <si>
    <t>Таблица 7</t>
  </si>
  <si>
    <t>Показатель</t>
  </si>
  <si>
    <t xml:space="preserve">Единица </t>
  </si>
  <si>
    <t>измерения</t>
  </si>
  <si>
    <t xml:space="preserve">Капитальные затраты на технологическое присоединение к </t>
  </si>
  <si>
    <t>электрическим сетям</t>
  </si>
  <si>
    <t>1.1.</t>
  </si>
  <si>
    <t xml:space="preserve">                                                                  в т.ч. налог на прибыль</t>
  </si>
  <si>
    <t>Расходы на технологическое присоединение</t>
  </si>
  <si>
    <t>2.1.</t>
  </si>
  <si>
    <t>разработка технических условий</t>
  </si>
  <si>
    <t>2.2.</t>
  </si>
  <si>
    <t>проверка исполнения технических условий</t>
  </si>
  <si>
    <t>2.3.</t>
  </si>
  <si>
    <t>выполнение техусловий  сетевой  организацией</t>
  </si>
  <si>
    <t>2.4.</t>
  </si>
  <si>
    <t>выполнение действий по техприсоединению</t>
  </si>
  <si>
    <t>Сумма выпадающих (излишне полученных) доходов</t>
  </si>
  <si>
    <t>ИТОГО</t>
  </si>
  <si>
    <t>Суммарная подключаемая мощность</t>
  </si>
  <si>
    <t>квт.</t>
  </si>
  <si>
    <t>Генеральный директор</t>
  </si>
  <si>
    <t xml:space="preserve">           Расчёт размера платы за технологическое присоединение (планируемый на 2015год)</t>
  </si>
  <si>
    <t xml:space="preserve">           Расчёт размера платы за технологическое присоединение (планируемый на 2015 год)</t>
  </si>
  <si>
    <t>Объём финансовой деятельности по технологическому присоединению на 2015 год</t>
  </si>
  <si>
    <t xml:space="preserve">      на  2015 год </t>
  </si>
  <si>
    <t xml:space="preserve">                           "____"   _______________   2014 г.</t>
  </si>
  <si>
    <t xml:space="preserve">                                         по ОАО "Мордовская электротеплосетевая компания" на 2015 год</t>
  </si>
  <si>
    <t>"УТВЕРЖДАЮ"</t>
  </si>
  <si>
    <t xml:space="preserve">           Генеральный директор</t>
  </si>
  <si>
    <t xml:space="preserve">                          ОАО "Мордовэлектротеплосеть"</t>
  </si>
  <si>
    <t>№ п.п.</t>
  </si>
  <si>
    <t>Показатели</t>
  </si>
  <si>
    <t>Ожидаемые данные за текущий период</t>
  </si>
  <si>
    <t>1.</t>
  </si>
  <si>
    <t>Расходы по выполнению мероприятий по технологическому присоединению, всего</t>
  </si>
  <si>
    <t>Вспомогательные материалы</t>
  </si>
  <si>
    <t>1.2.</t>
  </si>
  <si>
    <t>Энергия на хозяйственные нужды</t>
  </si>
  <si>
    <t>1.3.</t>
  </si>
  <si>
    <t xml:space="preserve">Оплата труда  ППП </t>
  </si>
  <si>
    <t>1.4.</t>
  </si>
  <si>
    <t>Отчисления на страховые взносы</t>
  </si>
  <si>
    <t>1.5.</t>
  </si>
  <si>
    <t>Прочие расходы всего, в том числе:</t>
  </si>
  <si>
    <t>1.5.1.</t>
  </si>
  <si>
    <t>работы и услуги производственного характера</t>
  </si>
  <si>
    <t>1.5.2.</t>
  </si>
  <si>
    <t>налоги и сборы, уменьшающие налого-облагаемую базу на прибыль организаций, всего</t>
  </si>
  <si>
    <t>1.5.3.</t>
  </si>
  <si>
    <t>работы и услуги непроизводственного характера, в т.ч.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</si>
  <si>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</si>
  <si>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</si>
  <si>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</si>
  <si>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</si>
  <si>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</si>
  <si>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</si>
  <si>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</si>
  <si>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</si>
  <si>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</si>
  <si>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</si>
  <si>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</si>
  <si>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</si>
  <si>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</si>
  <si>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расходы на услуги банков</t>
  </si>
  <si>
    <t>1.6.2.</t>
  </si>
  <si>
    <t>% за пользование кредитом</t>
  </si>
  <si>
    <t>1.6.3.</t>
  </si>
  <si>
    <t>прочие обоснованные расходы</t>
  </si>
  <si>
    <t>1.6.4.</t>
  </si>
  <si>
    <t>денежные выплаты социального характера (по коллективному договору)</t>
  </si>
  <si>
    <t>1.6.6.</t>
  </si>
  <si>
    <t>другие расходы из прибыли</t>
  </si>
  <si>
    <t>2.</t>
  </si>
  <si>
    <t>Расходы на строительство объектов электросетевого хозяйства - от существующих объектов ээлектросетевого хозяйства до присоединяемых энергопринимающих устройств и (или) объектов электроэнергетики</t>
  </si>
  <si>
    <t>3.</t>
  </si>
  <si>
    <t>Выпадающие доходы/экономия средств</t>
  </si>
  <si>
    <t>4.</t>
  </si>
  <si>
    <t>Необходимая валовая выручка (сумма п.1-3)</t>
  </si>
  <si>
    <t xml:space="preserve">         _________________А.А.Тимофеев</t>
  </si>
  <si>
    <r>
      <t xml:space="preserve">Стандартизированная тарифная ставка С </t>
    </r>
    <r>
      <rPr>
        <b/>
        <vertAlign val="subscript"/>
        <sz val="10"/>
        <rFont val="Arial Cyr"/>
        <family val="0"/>
      </rPr>
      <t>1</t>
    </r>
  </si>
  <si>
    <t>(руб./кВт)</t>
  </si>
  <si>
    <t>№    п/п</t>
  </si>
  <si>
    <t>Наименование мероприятий</t>
  </si>
  <si>
    <t>Разбивка НВВ по каждому мероприятию, (руб.)</t>
  </si>
  <si>
    <t>Объем максимальной мощности,    (кВт)</t>
  </si>
  <si>
    <t>Ставки для расчета платы по каждому мероприятию,  (руб./кВт)</t>
  </si>
  <si>
    <t>I.</t>
  </si>
  <si>
    <r>
      <t>Ставка платы за технологическое присоединение мощностью от 15 до 150 кВт по НН   С</t>
    </r>
    <r>
      <rPr>
        <b/>
        <i/>
        <vertAlign val="subscript"/>
        <sz val="10"/>
        <rFont val="Arial Cyr"/>
        <family val="0"/>
      </rPr>
      <t>1</t>
    </r>
  </si>
  <si>
    <t>Подготовка и выдача сетевой организацией технических условий Заявителю (ТУ)</t>
  </si>
  <si>
    <t>1.1</t>
  </si>
  <si>
    <t>1.2</t>
  </si>
  <si>
    <t>Оплата труда  ППП (без ЕСН)</t>
  </si>
  <si>
    <t>1.3</t>
  </si>
  <si>
    <t>Отчисления на социальные нужды</t>
  </si>
  <si>
    <t>1.4</t>
  </si>
  <si>
    <t>Прочие расходы</t>
  </si>
  <si>
    <t>1.5</t>
  </si>
  <si>
    <t>Внереализационные расходы</t>
  </si>
  <si>
    <t>Разработка сетевой организацией проектной документаци, всего</t>
  </si>
  <si>
    <t>Выполнение сетевой организацией мероприятий, связанных со строительством</t>
  </si>
  <si>
    <t>3.1</t>
  </si>
  <si>
    <t>строительство воздушных  линий</t>
  </si>
  <si>
    <t>3.2</t>
  </si>
  <si>
    <t>строительство кабельных линий</t>
  </si>
  <si>
    <t>3.3</t>
  </si>
  <si>
    <t>строительство пунктов секционирования</t>
  </si>
  <si>
    <t>3.4</t>
  </si>
  <si>
    <t>строительство комплектных трансформаторных подстанций (КТП), распределительных трансформаторных подстанций (РТП) с классом напряжения до 35 кВ</t>
  </si>
  <si>
    <t>3.5</t>
  </si>
  <si>
    <t>строительство центров питания, подстанций классом напряжения 35 кВ и выше (ПС)</t>
  </si>
  <si>
    <t xml:space="preserve">Проверка сетевой организацией выполнения Заявителем  ТУ </t>
  </si>
  <si>
    <t>2.1</t>
  </si>
  <si>
    <t>2.2</t>
  </si>
  <si>
    <t>2.3</t>
  </si>
  <si>
    <t>2.4</t>
  </si>
  <si>
    <t>2.5</t>
  </si>
  <si>
    <t>Участие в осмотре должностным лицом Ростехнадзора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</si>
  <si>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</si>
  <si>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4.1</t>
  </si>
  <si>
    <t>4.2</t>
  </si>
  <si>
    <t>4.3</t>
  </si>
  <si>
    <t>4.4</t>
  </si>
  <si>
    <t>4.5</t>
  </si>
  <si>
    <t>II.</t>
  </si>
  <si>
    <r>
      <t>Ставка платы за технологическое присоединение мощностью от 150 до 670 кВт по НН  С</t>
    </r>
    <r>
      <rPr>
        <b/>
        <i/>
        <vertAlign val="subscript"/>
        <sz val="10"/>
        <rFont val="Arial Cyr"/>
        <family val="0"/>
      </rPr>
      <t>1</t>
    </r>
  </si>
  <si>
    <t>III.</t>
  </si>
  <si>
    <r>
      <t>Ставка платы за технологическое присоединение мощностью от 15 до 150 кВт по CН II   С</t>
    </r>
    <r>
      <rPr>
        <b/>
        <i/>
        <vertAlign val="subscript"/>
        <sz val="10"/>
        <rFont val="Arial Cyr"/>
        <family val="0"/>
      </rPr>
      <t>1</t>
    </r>
  </si>
  <si>
    <t>IV.</t>
  </si>
  <si>
    <r>
      <t>Ставка за технологическое присоединение мощностью от 150 до 670 кВт по CН II     С</t>
    </r>
    <r>
      <rPr>
        <b/>
        <i/>
        <vertAlign val="subscript"/>
        <sz val="10"/>
        <rFont val="Arial Cyr"/>
        <family val="0"/>
      </rPr>
      <t>1</t>
    </r>
  </si>
  <si>
    <t>V.</t>
  </si>
  <si>
    <r>
      <t>Средняя ставка платы за технологическое присоединение  за 1 кВт. мощности  С</t>
    </r>
    <r>
      <rPr>
        <b/>
        <i/>
        <vertAlign val="subscript"/>
        <sz val="10"/>
        <rFont val="Arial Cyr"/>
        <family val="0"/>
      </rPr>
      <t>1</t>
    </r>
  </si>
  <si>
    <t>Н.В.Уварова</t>
  </si>
  <si>
    <t>Калькуляция стоимости мероприятий, осуществляемых при технологическом присоединении  единицы мощности      (1 кВт),  по  ОАО "Мордовэлектротеплосеть" на 2015 год</t>
  </si>
  <si>
    <t xml:space="preserve">                  "____"______________2014 г.</t>
  </si>
  <si>
    <t xml:space="preserve"> Утверждено МЭиТП                                                                                                               Плановые показатели на 2014 год по заявителям с присоединяемой мощностью свыше 15 кВт</t>
  </si>
  <si>
    <t>Калькуляция стоимости мероприятий, осуществляемых при технологическом присоединении  единицы мощности                                                        (1 кВт), по  ОАО "Мордовэлектротеплосеть" на 2015 год</t>
  </si>
  <si>
    <t>Энергия на хозяйственые нужды</t>
  </si>
  <si>
    <t>налоги,  всего</t>
  </si>
  <si>
    <t>Прочие расходы, всего, в том числе</t>
  </si>
  <si>
    <t xml:space="preserve">денежные выплаты социального характера </t>
  </si>
  <si>
    <t>1.6.5.</t>
  </si>
  <si>
    <t xml:space="preserve">Расходы по выполнению мероприятий по технологическому присоединению, всего </t>
  </si>
  <si>
    <t>% увелич.</t>
  </si>
  <si>
    <t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</si>
  <si>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(тыс.руб./кВт)</t>
  </si>
  <si>
    <t xml:space="preserve">Расчет необходимой валовой выручки на  технологическое присоединение по                                                                        ОАО"Мордовэлектротеплосеть"  на 2015 год                                               </t>
  </si>
  <si>
    <t>Предложения МЭТСК                         Прогнозные  показатели на 2015 год по заявителям с присоединяемой мощностью свыше 15 кВт</t>
  </si>
  <si>
    <t xml:space="preserve">Отчет  2013 год </t>
  </si>
  <si>
    <t>Ожидаемые данные за  2014 г.</t>
  </si>
  <si>
    <t>% увеличения</t>
  </si>
  <si>
    <t>(тыс.руб.)</t>
  </si>
  <si>
    <t xml:space="preserve">Предложения МЭТСК                     НВВ  на 2015 год </t>
  </si>
  <si>
    <t>Ставки за единицу максимальной мощности для определения платы за технологическое присоединение к электрическим сетям ОАО "Мордовэлектротеплосеть" на 2015 год</t>
  </si>
  <si>
    <t>Зарплата начальника РЭС</t>
  </si>
  <si>
    <t>Начальник РЭС</t>
  </si>
  <si>
    <t>Начальник отдела сбыта и учета электрической энергии</t>
  </si>
  <si>
    <t>Ведущий экономист</t>
  </si>
  <si>
    <t>Ведущий бухгалтер</t>
  </si>
  <si>
    <t>Зарплата начальника отдела сбыта и учета электрической энергии</t>
  </si>
  <si>
    <t>Зарплата ведущего экономиста</t>
  </si>
  <si>
    <t>Зарплата ведущего бухгалтера</t>
  </si>
  <si>
    <t>ЕСН на зарплату начальника РЭС</t>
  </si>
  <si>
    <t>ЕСН на зарплату  инженера ПТО</t>
  </si>
  <si>
    <t>ЕСН на зарплату  начальника ПТО</t>
  </si>
  <si>
    <t>ЕСН на  зарплату водителя</t>
  </si>
  <si>
    <t>ЕСН на  зарплату начальника РЭС</t>
  </si>
  <si>
    <t>ЕСН на  зарплату  начальника отдела сбыта и учета электрической энергии</t>
  </si>
  <si>
    <t>ЕСН на  зарплату инженера ПТО</t>
  </si>
  <si>
    <t>ЕСН на зарплату мастера участка</t>
  </si>
  <si>
    <t>ЕСН на зарплату ведущего экономиста</t>
  </si>
  <si>
    <t>ЕСН на зарплату ведущего бухгалтера</t>
  </si>
  <si>
    <t xml:space="preserve">стоимости подготовки и выдачи технических условий на </t>
  </si>
  <si>
    <t xml:space="preserve">на фактические действия по технологическому присоединению </t>
  </si>
  <si>
    <t xml:space="preserve">                ОАО "Мордовэлектротеплосеть"</t>
  </si>
  <si>
    <t xml:space="preserve">                           "_____"___________________2014 г.</t>
  </si>
  <si>
    <t xml:space="preserve">                     ___________________А.А.Тимофеев</t>
  </si>
  <si>
    <t>Главный инженер</t>
  </si>
  <si>
    <t>Зарплата главного инженера</t>
  </si>
  <si>
    <t>ЕСН на зарплату главного инженера</t>
  </si>
  <si>
    <t>на участие в осмотре должностным лицом Ростехнадзора присоединяемых устройств заявителя на 2015 год</t>
  </si>
  <si>
    <t xml:space="preserve">Расчет расходов на участие в осмотре должностным лицом                                             Ростехнадзора присоединяемых устройств заявителя </t>
  </si>
  <si>
    <t>Затраты на участие в осмотре</t>
  </si>
  <si>
    <t>должностным лицом Ростехнадзора</t>
  </si>
  <si>
    <t xml:space="preserve">на участие в осмотре должностным лицом </t>
  </si>
  <si>
    <t>Ростехнадзора присоединяемых устройств</t>
  </si>
  <si>
    <t xml:space="preserve">присоединяемых устройств заявителя </t>
  </si>
  <si>
    <t>Среднее время работы, чел./час.</t>
  </si>
  <si>
    <t>Среднее время работы,          чел./ час.</t>
  </si>
  <si>
    <t>Среднее время работы, чел./ час.</t>
  </si>
  <si>
    <t>Среднее время работы,  чел./час.</t>
  </si>
  <si>
    <t>по фактическим действиям по  технолог. присоединению</t>
  </si>
  <si>
    <t>Стоимость работы  1 чел./ час</t>
  </si>
  <si>
    <t>Стоимость работы             1 чел./ час</t>
  </si>
  <si>
    <t>4 час</t>
  </si>
  <si>
    <t>5 часа 55 мин.</t>
  </si>
  <si>
    <t>Участие в разработке ТУ на техн. присоединение объектов электроснабжения</t>
  </si>
  <si>
    <t xml:space="preserve"> 40 мин</t>
  </si>
  <si>
    <t>Ознакомление с присоединяемым объектом, технический осмотр присоединяемых энерго-принимающих устройств, определение точки присоединения</t>
  </si>
  <si>
    <t>Разработка технических условий на технологическое присоединение, согласование ТУ и подготовка договора на технологическое присоединение.Расчет размера платы за технологическое присоединение</t>
  </si>
  <si>
    <t>Составление акта о выполнении технических условий</t>
  </si>
  <si>
    <t>Проверка выполнения технических условий по технол. присоединению, осмотр прибора учета электроэнергии</t>
  </si>
  <si>
    <t>Проверка схемы включения приборов учета электроэнергии и составление акта ввода</t>
  </si>
  <si>
    <t>Составление актов разграничения балансовой и эксплуатационной ответственности электроустановок</t>
  </si>
  <si>
    <t>Составление акта о тех.присоединении,подготовка распоряжения на включение электроустановки под рабочее напряжение</t>
  </si>
  <si>
    <t>Утверждение распоряжения на включение электроустановки под рабочее напряжение</t>
  </si>
  <si>
    <t>Расчеты валовой выручки, необходимой для осуществления технологического присоединения, расчет ставок за единицу мощности</t>
  </si>
  <si>
    <r>
      <rPr>
        <sz val="10"/>
        <rFont val="Arial Cyr"/>
        <family val="0"/>
      </rPr>
      <t>15 мин</t>
    </r>
    <r>
      <rPr>
        <b/>
        <sz val="10"/>
        <rFont val="Arial Cyr"/>
        <family val="0"/>
      </rPr>
      <t>.</t>
    </r>
  </si>
  <si>
    <t>Инженер по техническому контролю и надзору энергоустановок</t>
  </si>
  <si>
    <t>Выезд на место, обратная дорога</t>
  </si>
  <si>
    <t>30 мин.+30 мин.</t>
  </si>
  <si>
    <t>Выезд до места нахождения присоединяемого объекта, обратная дорога</t>
  </si>
  <si>
    <t>2 час 15 мин</t>
  </si>
  <si>
    <t>30 мин.+             30 мин.+1 час</t>
  </si>
  <si>
    <t>2 час 45 мин.</t>
  </si>
  <si>
    <t>4 часа</t>
  </si>
  <si>
    <t>Электромонтеры (2 человека)</t>
  </si>
  <si>
    <t xml:space="preserve">Учет поступления денежных средств и  фактических затрат по технологическому присоединению </t>
  </si>
  <si>
    <t>60 мин.+ 60 мин.</t>
  </si>
  <si>
    <t xml:space="preserve">технологическое присоединение к электрическим сетям </t>
  </si>
  <si>
    <t>ОАО "Мордовэлектротеплосеть" на 2015 год</t>
  </si>
  <si>
    <t>Зарплата инженера по техническому контролю и надзору энергоустановок</t>
  </si>
  <si>
    <t xml:space="preserve"> Инженер по техническому контролю и надзору энергоустановок</t>
  </si>
  <si>
    <t xml:space="preserve"> ОАО "Мордовэлектротеплосеть" на 2015 год</t>
  </si>
  <si>
    <t>ЕСН на зарплату инженера по техническому контролю и надзору энергоустановок</t>
  </si>
  <si>
    <t xml:space="preserve">и обеспечению работы устройств в электрической сети </t>
  </si>
  <si>
    <t>ЕСН на  зарплату главного инженера</t>
  </si>
  <si>
    <t>ЕСН на  зарплату электромонтеров</t>
  </si>
  <si>
    <t>Ожидаемое выполнение  2014 год     Расходы на проведение мероприятий по всем тех.присоединениям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</si>
</sst>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%"/>
    <numFmt numFmtId="171" formatCode="0.00;[Red]0.00"/>
  </numFmts>
  <fonts count="63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b/>
      <sz val="13"/>
      <name val="Arial Cyr"/>
      <family val="2"/>
    </font>
    <font>
      <sz val="11"/>
      <name val="Arial Cyr"/>
      <family val="0"/>
    </font>
    <font>
      <sz val="10"/>
      <color indexed="8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color indexed="9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vertAlign val="subscript"/>
      <sz val="10"/>
      <name val="Arial Cyr"/>
      <family val="0"/>
    </font>
    <font>
      <b/>
      <i/>
      <vertAlign val="subscript"/>
      <sz val="10"/>
      <name val="Arial Cyr"/>
      <family val="0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Arial Cyr"/>
      <family val="0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9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Font="1" applyAlignment="1">
      <alignment/>
    </xf>
    <xf numFmtId="165" fontId="8" fillId="0" borderId="10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" fontId="18" fillId="0" borderId="1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13" xfId="0" applyFont="1" applyBorder="1" applyAlignment="1">
      <alignment/>
    </xf>
    <xf numFmtId="2" fontId="18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2" fontId="18" fillId="0" borderId="17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/>
    </xf>
    <xf numFmtId="2" fontId="18" fillId="0" borderId="13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/>
    </xf>
    <xf numFmtId="0" fontId="19" fillId="0" borderId="1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33" borderId="0" xfId="0" applyFont="1" applyFill="1" applyAlignment="1">
      <alignment/>
    </xf>
    <xf numFmtId="0" fontId="19" fillId="0" borderId="15" xfId="0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0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5" fontId="18" fillId="33" borderId="0" xfId="0" applyNumberFormat="1" applyFont="1" applyFill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0" fontId="0" fillId="33" borderId="0" xfId="0" applyFont="1" applyFill="1" applyAlignment="1">
      <alignment/>
    </xf>
    <xf numFmtId="1" fontId="0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5" fontId="0" fillId="33" borderId="0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16" fontId="0" fillId="0" borderId="11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2" fontId="0" fillId="33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0" xfId="0" applyFont="1" applyFill="1" applyBorder="1" applyAlignment="1">
      <alignment/>
    </xf>
    <xf numFmtId="1" fontId="18" fillId="0" borderId="12" xfId="0" applyNumberFormat="1" applyFont="1" applyBorder="1" applyAlignment="1">
      <alignment/>
    </xf>
    <xf numFmtId="16" fontId="18" fillId="0" borderId="10" xfId="0" applyNumberFormat="1" applyFont="1" applyBorder="1" applyAlignment="1">
      <alignment horizontal="center"/>
    </xf>
    <xf numFmtId="1" fontId="18" fillId="0" borderId="23" xfId="0" applyNumberFormat="1" applyFont="1" applyBorder="1" applyAlignment="1">
      <alignment/>
    </xf>
    <xf numFmtId="0" fontId="18" fillId="0" borderId="10" xfId="0" applyFont="1" applyBorder="1" applyAlignment="1">
      <alignment/>
    </xf>
    <xf numFmtId="1" fontId="18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2" fontId="61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 shrinkToFit="1"/>
    </xf>
    <xf numFmtId="0" fontId="8" fillId="0" borderId="25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2" fontId="4" fillId="0" borderId="25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2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 wrapText="1"/>
    </xf>
    <xf numFmtId="2" fontId="0" fillId="0" borderId="12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2" fontId="25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5" fontId="8" fillId="0" borderId="25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165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9" fontId="11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1" fillId="0" borderId="21" xfId="0" applyFont="1" applyBorder="1" applyAlignment="1">
      <alignment vertical="center"/>
    </xf>
    <xf numFmtId="0" fontId="0" fillId="0" borderId="23" xfId="0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2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1" xfId="0" applyFont="1" applyBorder="1" applyAlignment="1">
      <alignment horizontal="center" wrapText="1" shrinkToFit="1"/>
    </xf>
    <xf numFmtId="0" fontId="8" fillId="0" borderId="12" xfId="0" applyFont="1" applyBorder="1" applyAlignment="1">
      <alignment horizontal="center" wrapText="1" shrinkToFi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8" fillId="0" borderId="0" xfId="0" applyFont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8" fillId="0" borderId="11" xfId="0" applyFont="1" applyBorder="1" applyAlignment="1">
      <alignment wrapText="1"/>
    </xf>
    <xf numFmtId="2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9525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3819525" y="9715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114300</xdr:rowOff>
    </xdr:from>
    <xdr:to>
      <xdr:col>2</xdr:col>
      <xdr:colOff>0</xdr:colOff>
      <xdr:row>12</xdr:row>
      <xdr:rowOff>114300</xdr:rowOff>
    </xdr:to>
    <xdr:sp>
      <xdr:nvSpPr>
        <xdr:cNvPr id="1" name="Line 8"/>
        <xdr:cNvSpPr>
          <a:spLocks/>
        </xdr:cNvSpPr>
      </xdr:nvSpPr>
      <xdr:spPr>
        <a:xfrm>
          <a:off x="18002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2</xdr:col>
      <xdr:colOff>0</xdr:colOff>
      <xdr:row>13</xdr:row>
      <xdr:rowOff>114300</xdr:rowOff>
    </xdr:to>
    <xdr:sp>
      <xdr:nvSpPr>
        <xdr:cNvPr id="2" name="Line 9"/>
        <xdr:cNvSpPr>
          <a:spLocks/>
        </xdr:cNvSpPr>
      </xdr:nvSpPr>
      <xdr:spPr>
        <a:xfrm>
          <a:off x="18002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114300</xdr:rowOff>
    </xdr:from>
    <xdr:to>
      <xdr:col>2</xdr:col>
      <xdr:colOff>0</xdr:colOff>
      <xdr:row>14</xdr:row>
      <xdr:rowOff>114300</xdr:rowOff>
    </xdr:to>
    <xdr:sp>
      <xdr:nvSpPr>
        <xdr:cNvPr id="3" name="Line 10"/>
        <xdr:cNvSpPr>
          <a:spLocks/>
        </xdr:cNvSpPr>
      </xdr:nvSpPr>
      <xdr:spPr>
        <a:xfrm>
          <a:off x="1800225" y="25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15</xdr:row>
      <xdr:rowOff>0</xdr:rowOff>
    </xdr:to>
    <xdr:sp>
      <xdr:nvSpPr>
        <xdr:cNvPr id="4" name="Line 11"/>
        <xdr:cNvSpPr>
          <a:spLocks/>
        </xdr:cNvSpPr>
      </xdr:nvSpPr>
      <xdr:spPr>
        <a:xfrm>
          <a:off x="1800225" y="20764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5" name="Line 18"/>
        <xdr:cNvSpPr>
          <a:spLocks/>
        </xdr:cNvSpPr>
      </xdr:nvSpPr>
      <xdr:spPr>
        <a:xfrm>
          <a:off x="248602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28</xdr:row>
      <xdr:rowOff>9525</xdr:rowOff>
    </xdr:to>
    <xdr:sp>
      <xdr:nvSpPr>
        <xdr:cNvPr id="6" name="Line 19"/>
        <xdr:cNvSpPr>
          <a:spLocks/>
        </xdr:cNvSpPr>
      </xdr:nvSpPr>
      <xdr:spPr>
        <a:xfrm>
          <a:off x="2486025" y="4438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114300</xdr:rowOff>
    </xdr:from>
    <xdr:to>
      <xdr:col>2</xdr:col>
      <xdr:colOff>0</xdr:colOff>
      <xdr:row>12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18002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2</xdr:col>
      <xdr:colOff>0</xdr:colOff>
      <xdr:row>13</xdr:row>
      <xdr:rowOff>114300</xdr:rowOff>
    </xdr:to>
    <xdr:sp>
      <xdr:nvSpPr>
        <xdr:cNvPr id="8" name="Line 21"/>
        <xdr:cNvSpPr>
          <a:spLocks/>
        </xdr:cNvSpPr>
      </xdr:nvSpPr>
      <xdr:spPr>
        <a:xfrm>
          <a:off x="18002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114300</xdr:rowOff>
    </xdr:from>
    <xdr:to>
      <xdr:col>2</xdr:col>
      <xdr:colOff>0</xdr:colOff>
      <xdr:row>14</xdr:row>
      <xdr:rowOff>114300</xdr:rowOff>
    </xdr:to>
    <xdr:sp>
      <xdr:nvSpPr>
        <xdr:cNvPr id="9" name="Line 22"/>
        <xdr:cNvSpPr>
          <a:spLocks/>
        </xdr:cNvSpPr>
      </xdr:nvSpPr>
      <xdr:spPr>
        <a:xfrm>
          <a:off x="1800225" y="25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114300</xdr:rowOff>
    </xdr:from>
    <xdr:to>
      <xdr:col>2</xdr:col>
      <xdr:colOff>0</xdr:colOff>
      <xdr:row>12</xdr:row>
      <xdr:rowOff>114300</xdr:rowOff>
    </xdr:to>
    <xdr:sp>
      <xdr:nvSpPr>
        <xdr:cNvPr id="10" name="Line 23"/>
        <xdr:cNvSpPr>
          <a:spLocks/>
        </xdr:cNvSpPr>
      </xdr:nvSpPr>
      <xdr:spPr>
        <a:xfrm>
          <a:off x="18002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2</xdr:col>
      <xdr:colOff>0</xdr:colOff>
      <xdr:row>13</xdr:row>
      <xdr:rowOff>114300</xdr:rowOff>
    </xdr:to>
    <xdr:sp>
      <xdr:nvSpPr>
        <xdr:cNvPr id="11" name="Line 24"/>
        <xdr:cNvSpPr>
          <a:spLocks/>
        </xdr:cNvSpPr>
      </xdr:nvSpPr>
      <xdr:spPr>
        <a:xfrm>
          <a:off x="18002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114300</xdr:rowOff>
    </xdr:from>
    <xdr:to>
      <xdr:col>2</xdr:col>
      <xdr:colOff>0</xdr:colOff>
      <xdr:row>14</xdr:row>
      <xdr:rowOff>114300</xdr:rowOff>
    </xdr:to>
    <xdr:sp>
      <xdr:nvSpPr>
        <xdr:cNvPr id="12" name="Line 25"/>
        <xdr:cNvSpPr>
          <a:spLocks/>
        </xdr:cNvSpPr>
      </xdr:nvSpPr>
      <xdr:spPr>
        <a:xfrm>
          <a:off x="1800225" y="25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53;&#1042;&#1042;%20&#1090;&#1077;&#1093;&#1087;&#1088;&#1080;&#1089;&#1086;&#1077;&#1076;.2014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ы 1-3"/>
      <sheetName val="таблица 4"/>
      <sheetName val="таблицы5-6"/>
      <sheetName val="таблица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5.75390625" style="6" customWidth="1"/>
    <col min="2" max="2" width="38.625" style="0" customWidth="1"/>
    <col min="3" max="3" width="9.25390625" style="0" customWidth="1"/>
    <col min="4" max="4" width="25.00390625" style="0" hidden="1" customWidth="1"/>
    <col min="5" max="5" width="22.375" style="0" customWidth="1"/>
    <col min="6" max="6" width="18.125" style="0" customWidth="1"/>
    <col min="7" max="7" width="19.625" style="0" customWidth="1"/>
    <col min="8" max="8" width="11.375" style="0" customWidth="1"/>
    <col min="9" max="9" width="0.74609375" style="0" customWidth="1"/>
    <col min="10" max="10" width="1.37890625" style="0" customWidth="1"/>
  </cols>
  <sheetData>
    <row r="1" spans="1:10" ht="18.75">
      <c r="A1" s="18"/>
      <c r="B1" s="1"/>
      <c r="C1" s="27" t="s">
        <v>26</v>
      </c>
      <c r="D1" s="1"/>
      <c r="E1" s="1"/>
      <c r="G1" s="2"/>
      <c r="I1" s="2"/>
      <c r="J1" s="2"/>
    </row>
    <row r="2" spans="1:10" ht="18.75">
      <c r="A2" s="18"/>
      <c r="B2" s="1"/>
      <c r="C2" s="27" t="s">
        <v>92</v>
      </c>
      <c r="D2" s="1"/>
      <c r="E2" s="1"/>
      <c r="G2" s="2"/>
      <c r="I2" s="2"/>
      <c r="J2" s="2"/>
    </row>
    <row r="3" spans="1:10" ht="18.75">
      <c r="A3" s="18"/>
      <c r="B3" s="1"/>
      <c r="C3" s="27" t="s">
        <v>83</v>
      </c>
      <c r="D3" s="1"/>
      <c r="E3" s="1"/>
      <c r="G3" s="2"/>
      <c r="I3" s="2"/>
      <c r="J3" s="2"/>
    </row>
    <row r="4" spans="1:10" ht="18.75">
      <c r="A4" s="18"/>
      <c r="B4" s="1"/>
      <c r="C4" s="27" t="s">
        <v>94</v>
      </c>
      <c r="D4" s="1"/>
      <c r="E4" s="1"/>
      <c r="G4" s="2"/>
      <c r="I4" s="5"/>
      <c r="J4" s="5"/>
    </row>
    <row r="5" spans="1:10" ht="18.75">
      <c r="A5" s="18"/>
      <c r="B5" s="1"/>
      <c r="C5" s="27" t="s">
        <v>98</v>
      </c>
      <c r="D5" s="1"/>
      <c r="E5" s="1"/>
      <c r="F5" s="1"/>
      <c r="G5" s="1"/>
      <c r="H5" s="3"/>
      <c r="I5" s="3"/>
      <c r="J5" s="5"/>
    </row>
    <row r="6" spans="1:10" ht="18.75">
      <c r="A6" s="18"/>
      <c r="B6" s="1"/>
      <c r="C6" s="27"/>
      <c r="D6" s="1"/>
      <c r="E6" s="1"/>
      <c r="F6" s="1"/>
      <c r="G6" s="1"/>
      <c r="I6" s="5"/>
      <c r="J6" s="5"/>
    </row>
    <row r="7" spans="1:10" ht="15">
      <c r="A7" s="317" t="s">
        <v>2</v>
      </c>
      <c r="B7" s="317"/>
      <c r="C7" s="317"/>
      <c r="D7" s="317"/>
      <c r="E7" s="317"/>
      <c r="F7" s="317"/>
      <c r="G7" s="317"/>
      <c r="H7" s="4"/>
      <c r="I7" s="4"/>
      <c r="J7" s="4"/>
    </row>
    <row r="8" spans="1:10" ht="15.75">
      <c r="A8" s="317" t="s">
        <v>378</v>
      </c>
      <c r="B8" s="317"/>
      <c r="C8" s="317"/>
      <c r="D8" s="317"/>
      <c r="E8" s="317"/>
      <c r="F8" s="317"/>
      <c r="G8" s="317"/>
      <c r="H8" s="2"/>
      <c r="I8" s="2"/>
      <c r="J8" s="2"/>
    </row>
    <row r="9" spans="1:10" ht="15.75">
      <c r="A9" s="317" t="s">
        <v>425</v>
      </c>
      <c r="B9" s="317"/>
      <c r="C9" s="317"/>
      <c r="D9" s="317"/>
      <c r="E9" s="317"/>
      <c r="F9" s="317"/>
      <c r="G9" s="317"/>
      <c r="H9" s="2"/>
      <c r="I9" s="2"/>
      <c r="J9" s="2"/>
    </row>
    <row r="10" spans="1:11" ht="15.75">
      <c r="A10" s="317" t="s">
        <v>426</v>
      </c>
      <c r="B10" s="317"/>
      <c r="C10" s="317"/>
      <c r="D10" s="317"/>
      <c r="E10" s="317"/>
      <c r="F10" s="317"/>
      <c r="G10" s="317"/>
      <c r="H10" s="2"/>
      <c r="I10" s="2"/>
      <c r="J10" s="2"/>
      <c r="K10" t="s">
        <v>0</v>
      </c>
    </row>
    <row r="12" spans="1:8" ht="26.25" customHeight="1">
      <c r="A12" s="14" t="s">
        <v>10</v>
      </c>
      <c r="B12" s="14" t="s">
        <v>8</v>
      </c>
      <c r="C12" s="14" t="s">
        <v>9</v>
      </c>
      <c r="D12" s="14" t="s">
        <v>5</v>
      </c>
      <c r="E12" s="15" t="s">
        <v>398</v>
      </c>
      <c r="F12" s="15" t="s">
        <v>393</v>
      </c>
      <c r="G12" s="15" t="s">
        <v>12</v>
      </c>
      <c r="H12" s="6"/>
    </row>
    <row r="13" spans="1:8" ht="26.25" customHeight="1">
      <c r="A13" s="19">
        <v>1</v>
      </c>
      <c r="B13" s="261" t="s">
        <v>360</v>
      </c>
      <c r="C13" s="19" t="s">
        <v>4</v>
      </c>
      <c r="D13" s="14"/>
      <c r="E13" s="88">
        <f>зарплата!H13</f>
        <v>210.7</v>
      </c>
      <c r="F13" s="20">
        <v>1.66</v>
      </c>
      <c r="G13" s="88">
        <f aca="true" t="shared" si="0" ref="G13:G20">E13*F13</f>
        <v>349.76199999999994</v>
      </c>
      <c r="H13" s="6"/>
    </row>
    <row r="14" spans="1:7" ht="21" customHeight="1">
      <c r="A14" s="19">
        <v>2</v>
      </c>
      <c r="B14" s="20" t="s">
        <v>79</v>
      </c>
      <c r="C14" s="19" t="s">
        <v>4</v>
      </c>
      <c r="D14" s="20" t="s">
        <v>25</v>
      </c>
      <c r="E14" s="88">
        <f>зарплата!H18</f>
        <v>127.9</v>
      </c>
      <c r="F14" s="20">
        <v>5.92</v>
      </c>
      <c r="G14" s="88">
        <f t="shared" si="0"/>
        <v>757.168</v>
      </c>
    </row>
    <row r="15" spans="1:7" ht="18.75" customHeight="1">
      <c r="A15" s="19">
        <v>3</v>
      </c>
      <c r="B15" s="20" t="s">
        <v>74</v>
      </c>
      <c r="C15" s="19" t="s">
        <v>4</v>
      </c>
      <c r="D15" s="20" t="s">
        <v>19</v>
      </c>
      <c r="E15" s="88">
        <f>зарплата!H19</f>
        <v>310.4</v>
      </c>
      <c r="F15" s="20">
        <v>0.66</v>
      </c>
      <c r="G15" s="88">
        <f t="shared" si="0"/>
        <v>204.864</v>
      </c>
    </row>
    <row r="16" spans="1:7" ht="21" customHeight="1">
      <c r="A16" s="19">
        <v>4</v>
      </c>
      <c r="B16" s="20" t="s">
        <v>3</v>
      </c>
      <c r="C16" s="19" t="s">
        <v>4</v>
      </c>
      <c r="D16" s="28" t="s">
        <v>27</v>
      </c>
      <c r="E16" s="88">
        <f>зарплата!H20</f>
        <v>118</v>
      </c>
      <c r="F16" s="20">
        <v>1.66</v>
      </c>
      <c r="G16" s="88">
        <f t="shared" si="0"/>
        <v>195.88</v>
      </c>
    </row>
    <row r="17" spans="1:7" ht="22.5" customHeight="1">
      <c r="A17" s="19">
        <v>5</v>
      </c>
      <c r="B17" s="22" t="s">
        <v>368</v>
      </c>
      <c r="C17" s="19" t="s">
        <v>4</v>
      </c>
      <c r="D17" s="20" t="s">
        <v>15</v>
      </c>
      <c r="E17" s="88">
        <f>E13*0.302</f>
        <v>63.63139999999999</v>
      </c>
      <c r="F17" s="20">
        <v>1.66</v>
      </c>
      <c r="G17" s="88">
        <f>E17*F17</f>
        <v>105.62812399999999</v>
      </c>
    </row>
    <row r="18" spans="1:7" ht="22.5" customHeight="1">
      <c r="A18" s="19">
        <v>6</v>
      </c>
      <c r="B18" s="22" t="s">
        <v>369</v>
      </c>
      <c r="C18" s="19" t="s">
        <v>4</v>
      </c>
      <c r="D18" s="20" t="s">
        <v>15</v>
      </c>
      <c r="E18" s="88">
        <f>E14*0.302</f>
        <v>38.6258</v>
      </c>
      <c r="F18" s="20">
        <v>5.92</v>
      </c>
      <c r="G18" s="88">
        <f t="shared" si="0"/>
        <v>228.66473599999998</v>
      </c>
    </row>
    <row r="19" spans="1:7" ht="21" customHeight="1">
      <c r="A19" s="19">
        <v>7</v>
      </c>
      <c r="B19" s="22" t="s">
        <v>370</v>
      </c>
      <c r="C19" s="19" t="s">
        <v>4</v>
      </c>
      <c r="D19" s="20" t="s">
        <v>7</v>
      </c>
      <c r="E19" s="88">
        <f>E15*0.302</f>
        <v>93.7408</v>
      </c>
      <c r="F19" s="20">
        <v>0.66</v>
      </c>
      <c r="G19" s="88">
        <f t="shared" si="0"/>
        <v>61.868928</v>
      </c>
    </row>
    <row r="20" spans="1:7" ht="20.25" customHeight="1">
      <c r="A20" s="19">
        <v>8</v>
      </c>
      <c r="B20" s="22" t="s">
        <v>371</v>
      </c>
      <c r="C20" s="19" t="s">
        <v>4</v>
      </c>
      <c r="D20" s="20" t="s">
        <v>6</v>
      </c>
      <c r="E20" s="88">
        <f>E16*0.302</f>
        <v>35.635999999999996</v>
      </c>
      <c r="F20" s="20">
        <v>1.66</v>
      </c>
      <c r="G20" s="88">
        <f t="shared" si="0"/>
        <v>59.15575999999999</v>
      </c>
    </row>
    <row r="21" spans="1:7" ht="23.25" customHeight="1">
      <c r="A21" s="19">
        <v>9</v>
      </c>
      <c r="B21" s="9" t="s">
        <v>96</v>
      </c>
      <c r="C21" s="19" t="s">
        <v>4</v>
      </c>
      <c r="D21" s="20" t="s">
        <v>23</v>
      </c>
      <c r="E21" s="88">
        <f>22.22*2*107.4%</f>
        <v>47.72856</v>
      </c>
      <c r="F21" s="20"/>
      <c r="G21" s="88">
        <f>E21</f>
        <v>47.72856</v>
      </c>
    </row>
    <row r="22" spans="1:7" ht="22.5" customHeight="1">
      <c r="A22" s="19">
        <v>10</v>
      </c>
      <c r="B22" s="20" t="s">
        <v>302</v>
      </c>
      <c r="C22" s="19" t="s">
        <v>4</v>
      </c>
      <c r="D22" s="23">
        <v>0.4</v>
      </c>
      <c r="E22" s="86">
        <v>0.4</v>
      </c>
      <c r="F22" s="23"/>
      <c r="G22" s="88">
        <f>SUM(G13:G21)*E22</f>
        <v>804.2880432000001</v>
      </c>
    </row>
    <row r="23" spans="1:7" ht="18.75" customHeight="1">
      <c r="A23" s="19">
        <v>11</v>
      </c>
      <c r="B23" s="20" t="s">
        <v>14</v>
      </c>
      <c r="C23" s="19" t="s">
        <v>4</v>
      </c>
      <c r="D23" s="23">
        <v>0.09</v>
      </c>
      <c r="E23" s="86">
        <v>0.12</v>
      </c>
      <c r="F23" s="23"/>
      <c r="G23" s="88">
        <f>SUM(G13:G22)*E23</f>
        <v>337.800978144</v>
      </c>
    </row>
    <row r="24" spans="1:7" ht="21" customHeight="1">
      <c r="A24" s="19"/>
      <c r="B24" s="24" t="s">
        <v>20</v>
      </c>
      <c r="C24" s="19" t="s">
        <v>4</v>
      </c>
      <c r="D24" s="20"/>
      <c r="E24" s="21"/>
      <c r="F24" s="20"/>
      <c r="G24" s="84">
        <f>SUM(G13:G23)</f>
        <v>3152.809129344</v>
      </c>
    </row>
    <row r="25" spans="1:7" ht="15" customHeight="1" hidden="1">
      <c r="A25" s="19"/>
      <c r="B25" s="20" t="s">
        <v>11</v>
      </c>
      <c r="C25" s="19" t="s">
        <v>4</v>
      </c>
      <c r="D25" s="23">
        <v>0.18</v>
      </c>
      <c r="E25" s="23">
        <v>0.18</v>
      </c>
      <c r="F25" s="23"/>
      <c r="G25" s="21">
        <f>G24*0.18</f>
        <v>567.50564328192</v>
      </c>
    </row>
    <row r="26" spans="1:7" ht="2.25" customHeight="1" hidden="1">
      <c r="A26" s="19"/>
      <c r="B26" s="25" t="s">
        <v>22</v>
      </c>
      <c r="C26" s="19" t="s">
        <v>4</v>
      </c>
      <c r="D26" s="20"/>
      <c r="E26" s="21"/>
      <c r="F26" s="20"/>
      <c r="G26" s="26">
        <f>G24+G25</f>
        <v>3720.3147726259203</v>
      </c>
    </row>
    <row r="27" spans="1:7" ht="2.25" customHeight="1">
      <c r="A27" s="265"/>
      <c r="B27" s="266"/>
      <c r="C27" s="265"/>
      <c r="D27" s="267"/>
      <c r="E27" s="268"/>
      <c r="F27" s="267"/>
      <c r="G27" s="269"/>
    </row>
    <row r="29" spans="2:8" ht="14.25">
      <c r="B29" s="82"/>
      <c r="C29" s="82"/>
      <c r="D29" s="82"/>
      <c r="E29" s="82"/>
      <c r="F29" s="82"/>
      <c r="G29" s="77"/>
      <c r="H29" s="76"/>
    </row>
    <row r="31" spans="2:6" ht="12.75">
      <c r="B31" s="82" t="s">
        <v>88</v>
      </c>
      <c r="C31" s="82"/>
      <c r="D31" s="82"/>
      <c r="E31" s="82"/>
      <c r="F31" s="82" t="s">
        <v>71</v>
      </c>
    </row>
  </sheetData>
  <sheetProtection/>
  <mergeCells count="4">
    <mergeCell ref="A9:G9"/>
    <mergeCell ref="A7:G7"/>
    <mergeCell ref="A8:G8"/>
    <mergeCell ref="A10:G10"/>
  </mergeCells>
  <printOptions horizontalCentered="1"/>
  <pageMargins left="0.7874015748031497" right="0.7874015748031497" top="0.7480314960629921" bottom="0" header="0.5118110236220472" footer="0.5118110236220472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22">
      <selection activeCell="A26" sqref="A26:H26"/>
    </sheetView>
  </sheetViews>
  <sheetFormatPr defaultColWidth="9.00390625" defaultRowHeight="12.75"/>
  <cols>
    <col min="1" max="1" width="29.375" style="0" customWidth="1"/>
    <col min="2" max="2" width="15.375" style="0" customWidth="1"/>
    <col min="3" max="3" width="9.875" style="0" customWidth="1"/>
    <col min="4" max="4" width="12.00390625" style="0" customWidth="1"/>
    <col min="5" max="5" width="11.375" style="0" customWidth="1"/>
    <col min="6" max="6" width="15.00390625" style="0" customWidth="1"/>
    <col min="7" max="7" width="13.625" style="0" customWidth="1"/>
    <col min="8" max="8" width="12.125" style="0" customWidth="1"/>
  </cols>
  <sheetData>
    <row r="2" spans="1:8" ht="22.5" customHeight="1">
      <c r="A2" s="341" t="s">
        <v>67</v>
      </c>
      <c r="B2" s="341"/>
      <c r="C2" s="341"/>
      <c r="D2" s="341"/>
      <c r="E2" s="341"/>
      <c r="F2" s="341"/>
      <c r="G2" s="341"/>
      <c r="H2" s="341"/>
    </row>
    <row r="3" spans="1:8" ht="19.5" customHeight="1">
      <c r="A3" s="340" t="s">
        <v>68</v>
      </c>
      <c r="B3" s="340"/>
      <c r="C3" s="340"/>
      <c r="D3" s="340"/>
      <c r="E3" s="340"/>
      <c r="F3" s="340"/>
      <c r="G3" s="340"/>
      <c r="H3" s="340"/>
    </row>
    <row r="4" spans="1:8" ht="22.5" customHeight="1">
      <c r="A4" s="340" t="s">
        <v>429</v>
      </c>
      <c r="B4" s="340"/>
      <c r="C4" s="340"/>
      <c r="D4" s="340"/>
      <c r="E4" s="340"/>
      <c r="F4" s="340"/>
      <c r="G4" s="340"/>
      <c r="H4" s="340"/>
    </row>
    <row r="5" spans="1:10" ht="15.75">
      <c r="A5" s="2"/>
      <c r="B5" s="2"/>
      <c r="C5" s="2"/>
      <c r="D5" s="2"/>
      <c r="E5" s="2"/>
      <c r="F5" s="2"/>
      <c r="G5" s="2"/>
      <c r="H5" s="2"/>
      <c r="J5" t="s">
        <v>87</v>
      </c>
    </row>
    <row r="6" spans="1:8" ht="15.75">
      <c r="A6" s="2"/>
      <c r="B6" s="2"/>
      <c r="C6" s="2"/>
      <c r="D6" s="2"/>
      <c r="E6" s="2"/>
      <c r="F6" s="2"/>
      <c r="G6" s="2"/>
      <c r="H6" s="2"/>
    </row>
    <row r="8" spans="1:9" ht="33.75" customHeight="1">
      <c r="A8" s="39"/>
      <c r="B8" s="258" t="s">
        <v>29</v>
      </c>
      <c r="C8" s="338" t="s">
        <v>30</v>
      </c>
      <c r="D8" s="339"/>
      <c r="E8" s="259" t="s">
        <v>97</v>
      </c>
      <c r="F8" s="35" t="s">
        <v>31</v>
      </c>
      <c r="G8" s="260" t="s">
        <v>33</v>
      </c>
      <c r="H8" s="35" t="s">
        <v>32</v>
      </c>
      <c r="I8" s="30"/>
    </row>
    <row r="9" spans="1:9" ht="13.5" customHeight="1">
      <c r="A9" s="43"/>
      <c r="B9" s="42"/>
      <c r="C9" s="41"/>
      <c r="D9" s="42"/>
      <c r="E9" s="46"/>
      <c r="F9" s="36" t="s">
        <v>38</v>
      </c>
      <c r="G9" s="37"/>
      <c r="H9" s="38" t="s">
        <v>39</v>
      </c>
      <c r="I9" s="30"/>
    </row>
    <row r="10" spans="1:9" ht="15.75" customHeight="1">
      <c r="A10" s="40"/>
      <c r="B10" s="44" t="s">
        <v>4</v>
      </c>
      <c r="C10" s="44" t="s">
        <v>37</v>
      </c>
      <c r="D10" s="44" t="s">
        <v>4</v>
      </c>
      <c r="E10" s="44" t="s">
        <v>4</v>
      </c>
      <c r="F10" s="44" t="s">
        <v>4</v>
      </c>
      <c r="G10" s="45" t="s">
        <v>40</v>
      </c>
      <c r="H10" s="44" t="s">
        <v>4</v>
      </c>
      <c r="I10" s="30"/>
    </row>
    <row r="11" spans="1:9" ht="15.75" customHeight="1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4">
        <v>6</v>
      </c>
      <c r="G11" s="34">
        <v>7</v>
      </c>
      <c r="H11" s="34">
        <v>8</v>
      </c>
      <c r="I11" s="30"/>
    </row>
    <row r="12" spans="1:9" ht="25.5" customHeight="1">
      <c r="A12" s="250" t="s">
        <v>383</v>
      </c>
      <c r="B12" s="33">
        <v>50000</v>
      </c>
      <c r="C12" s="281">
        <v>0.3</v>
      </c>
      <c r="D12" s="254">
        <f>B12*C12</f>
        <v>15000</v>
      </c>
      <c r="E12" s="212">
        <f>ROUND((B12+D12)/12*2,1)</f>
        <v>10833.3</v>
      </c>
      <c r="F12" s="212">
        <f>B12+D12+E12</f>
        <v>75833.3</v>
      </c>
      <c r="G12" s="8">
        <v>164.25</v>
      </c>
      <c r="H12" s="212">
        <f>ROUND(F12/G12,1)</f>
        <v>461.7</v>
      </c>
      <c r="I12" s="30"/>
    </row>
    <row r="13" spans="1:9" ht="28.5" customHeight="1">
      <c r="A13" s="250" t="s">
        <v>361</v>
      </c>
      <c r="B13" s="251">
        <v>19908</v>
      </c>
      <c r="C13" s="253">
        <v>0.49</v>
      </c>
      <c r="D13" s="254">
        <f aca="true" t="shared" si="0" ref="D13:D22">B13*C13</f>
        <v>9754.92</v>
      </c>
      <c r="E13" s="212">
        <f aca="true" t="shared" si="1" ref="E13:E22">ROUND((B13+D13)/12*2,1)</f>
        <v>4943.8</v>
      </c>
      <c r="F13" s="212">
        <f aca="true" t="shared" si="2" ref="F13:F22">B13+D13+E13</f>
        <v>34606.72</v>
      </c>
      <c r="G13" s="8">
        <v>164.25</v>
      </c>
      <c r="H13" s="212">
        <f aca="true" t="shared" si="3" ref="H13:H22">ROUND(F13/G13,1)</f>
        <v>210.7</v>
      </c>
      <c r="I13" s="30"/>
    </row>
    <row r="14" spans="1:9" ht="31.5" customHeight="1">
      <c r="A14" s="256" t="s">
        <v>362</v>
      </c>
      <c r="B14" s="251">
        <v>20595</v>
      </c>
      <c r="C14" s="253">
        <v>0.49</v>
      </c>
      <c r="D14" s="254">
        <f t="shared" si="0"/>
        <v>10091.55</v>
      </c>
      <c r="E14" s="212">
        <f t="shared" si="1"/>
        <v>5114.4</v>
      </c>
      <c r="F14" s="212">
        <f t="shared" si="2"/>
        <v>35800.95</v>
      </c>
      <c r="G14" s="8">
        <v>164.25</v>
      </c>
      <c r="H14" s="212">
        <f t="shared" si="3"/>
        <v>218</v>
      </c>
      <c r="I14" s="30"/>
    </row>
    <row r="15" spans="1:9" ht="41.25" customHeight="1">
      <c r="A15" s="10" t="s">
        <v>428</v>
      </c>
      <c r="B15" s="251">
        <v>11465</v>
      </c>
      <c r="C15" s="253">
        <v>0.49</v>
      </c>
      <c r="D15" s="254">
        <f>B15*C15</f>
        <v>5617.849999999999</v>
      </c>
      <c r="E15" s="212">
        <f>ROUND((B15+D15)/12*2,1)</f>
        <v>2847.1</v>
      </c>
      <c r="F15" s="212">
        <f>B15+D15+E15</f>
        <v>19929.949999999997</v>
      </c>
      <c r="G15" s="8">
        <v>164.25</v>
      </c>
      <c r="H15" s="212">
        <f>ROUND(F15/G15,1)</f>
        <v>121.3</v>
      </c>
      <c r="I15" s="30"/>
    </row>
    <row r="16" spans="1:9" ht="31.5" customHeight="1">
      <c r="A16" s="256" t="s">
        <v>363</v>
      </c>
      <c r="B16" s="251">
        <v>22467</v>
      </c>
      <c r="C16" s="253">
        <v>0.49</v>
      </c>
      <c r="D16" s="254">
        <f>B16*C16</f>
        <v>11008.83</v>
      </c>
      <c r="E16" s="212">
        <f>ROUND((B16+D16)/12*2,1)</f>
        <v>5579.3</v>
      </c>
      <c r="F16" s="212">
        <f>B16+D16+E16</f>
        <v>39055.130000000005</v>
      </c>
      <c r="G16" s="8">
        <v>164.25</v>
      </c>
      <c r="H16" s="212">
        <f>ROUND(F16/G16,1)</f>
        <v>237.8</v>
      </c>
      <c r="I16" s="30"/>
    </row>
    <row r="17" spans="1:9" ht="31.5" customHeight="1">
      <c r="A17" s="256" t="s">
        <v>364</v>
      </c>
      <c r="B17" s="251">
        <v>18055</v>
      </c>
      <c r="C17" s="253">
        <v>0.49</v>
      </c>
      <c r="D17" s="254">
        <f>B17*C17</f>
        <v>8846.95</v>
      </c>
      <c r="E17" s="212">
        <f>ROUND((B17+D17)/12*2,1)</f>
        <v>4483.7</v>
      </c>
      <c r="F17" s="212">
        <f>B17+D17+E17</f>
        <v>31385.65</v>
      </c>
      <c r="G17" s="8">
        <v>164.25</v>
      </c>
      <c r="H17" s="212">
        <f>ROUND(F17/G17,1)</f>
        <v>191.1</v>
      </c>
      <c r="I17" s="30"/>
    </row>
    <row r="18" spans="1:10" ht="27" customHeight="1">
      <c r="A18" s="257" t="s">
        <v>72</v>
      </c>
      <c r="B18" s="8">
        <v>12082</v>
      </c>
      <c r="C18" s="253">
        <v>0.49</v>
      </c>
      <c r="D18" s="254">
        <f t="shared" si="0"/>
        <v>5920.18</v>
      </c>
      <c r="E18" s="212">
        <f t="shared" si="1"/>
        <v>3000.4</v>
      </c>
      <c r="F18" s="212">
        <f t="shared" si="2"/>
        <v>21002.58</v>
      </c>
      <c r="G18" s="8">
        <v>164.25</v>
      </c>
      <c r="H18" s="212">
        <f t="shared" si="3"/>
        <v>127.9</v>
      </c>
      <c r="J18" t="s">
        <v>86</v>
      </c>
    </row>
    <row r="19" spans="1:8" ht="24" customHeight="1">
      <c r="A19" s="257" t="s">
        <v>73</v>
      </c>
      <c r="B19" s="8">
        <v>29332</v>
      </c>
      <c r="C19" s="253">
        <v>0.49</v>
      </c>
      <c r="D19" s="254">
        <f t="shared" si="0"/>
        <v>14372.68</v>
      </c>
      <c r="E19" s="212">
        <f t="shared" si="1"/>
        <v>7284.1</v>
      </c>
      <c r="F19" s="212">
        <f t="shared" si="2"/>
        <v>50988.78</v>
      </c>
      <c r="G19" s="8">
        <v>164.25</v>
      </c>
      <c r="H19" s="212">
        <f t="shared" si="3"/>
        <v>310.4</v>
      </c>
    </row>
    <row r="20" spans="1:8" ht="25.5" customHeight="1">
      <c r="A20" s="257" t="s">
        <v>34</v>
      </c>
      <c r="B20" s="8">
        <v>10425</v>
      </c>
      <c r="C20" s="255">
        <v>0.593</v>
      </c>
      <c r="D20" s="254">
        <f t="shared" si="0"/>
        <v>6182.025</v>
      </c>
      <c r="E20" s="212">
        <f t="shared" si="1"/>
        <v>2767.8</v>
      </c>
      <c r="F20" s="212">
        <f t="shared" si="2"/>
        <v>19374.825</v>
      </c>
      <c r="G20" s="8">
        <v>164.25</v>
      </c>
      <c r="H20" s="212">
        <f t="shared" si="3"/>
        <v>118</v>
      </c>
    </row>
    <row r="21" spans="1:8" ht="26.25" customHeight="1">
      <c r="A21" s="257" t="s">
        <v>35</v>
      </c>
      <c r="B21" s="8">
        <v>10425</v>
      </c>
      <c r="C21" s="255">
        <v>0.463</v>
      </c>
      <c r="D21" s="254">
        <f t="shared" si="0"/>
        <v>4826.775000000001</v>
      </c>
      <c r="E21" s="212">
        <f t="shared" si="1"/>
        <v>2542</v>
      </c>
      <c r="F21" s="212">
        <f t="shared" si="2"/>
        <v>17793.775</v>
      </c>
      <c r="G21" s="8">
        <v>164.25</v>
      </c>
      <c r="H21" s="212">
        <f t="shared" si="3"/>
        <v>108.3</v>
      </c>
    </row>
    <row r="22" spans="1:8" ht="26.25" customHeight="1">
      <c r="A22" s="257" t="s">
        <v>36</v>
      </c>
      <c r="B22" s="252">
        <v>12082</v>
      </c>
      <c r="C22" s="253">
        <v>0.49</v>
      </c>
      <c r="D22" s="254">
        <f t="shared" si="0"/>
        <v>5920.18</v>
      </c>
      <c r="E22" s="212">
        <f t="shared" si="1"/>
        <v>3000.4</v>
      </c>
      <c r="F22" s="212">
        <f t="shared" si="2"/>
        <v>21002.58</v>
      </c>
      <c r="G22" s="8">
        <v>164.25</v>
      </c>
      <c r="H22" s="212">
        <f t="shared" si="3"/>
        <v>127.9</v>
      </c>
    </row>
    <row r="23" ht="16.5" customHeight="1">
      <c r="F23" s="81"/>
    </row>
    <row r="26" spans="2:8" ht="14.25">
      <c r="B26" s="78"/>
      <c r="C26" s="79"/>
      <c r="D26" s="79"/>
      <c r="E26" s="79"/>
      <c r="F26" s="79"/>
      <c r="G26" s="77"/>
      <c r="H26" s="79"/>
    </row>
  </sheetData>
  <sheetProtection/>
  <mergeCells count="4">
    <mergeCell ref="C8:D8"/>
    <mergeCell ref="A3:H3"/>
    <mergeCell ref="A4:H4"/>
    <mergeCell ref="A2:H2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34">
      <selection activeCell="A40" sqref="A40:J40"/>
    </sheetView>
  </sheetViews>
  <sheetFormatPr defaultColWidth="9.00390625" defaultRowHeight="12.75"/>
  <cols>
    <col min="1" max="1" width="7.625" style="0" customWidth="1"/>
    <col min="2" max="2" width="42.00390625" style="0" customWidth="1"/>
    <col min="3" max="3" width="16.25390625" style="0" hidden="1" customWidth="1"/>
    <col min="4" max="4" width="12.75390625" style="0" hidden="1" customWidth="1"/>
    <col min="5" max="5" width="19.375" style="0" customWidth="1"/>
    <col min="6" max="6" width="13.25390625" style="0" customWidth="1"/>
    <col min="7" max="7" width="13.625" style="0" hidden="1" customWidth="1"/>
    <col min="8" max="8" width="18.75390625" style="0" customWidth="1"/>
    <col min="9" max="9" width="9.00390625" style="0" customWidth="1"/>
    <col min="10" max="10" width="14.00390625" style="0" customWidth="1"/>
    <col min="11" max="11" width="8.625" style="0" customWidth="1"/>
  </cols>
  <sheetData>
    <row r="1" spans="1:14" ht="14.25">
      <c r="A1" s="190"/>
      <c r="B1" s="77"/>
      <c r="C1" s="78" t="s">
        <v>234</v>
      </c>
      <c r="D1" s="249"/>
      <c r="E1" s="249"/>
      <c r="F1" s="249"/>
      <c r="G1" s="249"/>
      <c r="H1" s="351" t="s">
        <v>234</v>
      </c>
      <c r="I1" s="351"/>
      <c r="J1" s="351"/>
      <c r="K1" s="351"/>
      <c r="L1" s="249"/>
      <c r="M1" s="249"/>
      <c r="N1" s="249"/>
    </row>
    <row r="2" spans="1:14" ht="14.25">
      <c r="A2" s="190"/>
      <c r="B2" s="77"/>
      <c r="C2" s="249"/>
      <c r="D2" s="249"/>
      <c r="E2" s="249"/>
      <c r="F2" s="249"/>
      <c r="G2" s="249"/>
      <c r="H2" s="325" t="s">
        <v>227</v>
      </c>
      <c r="I2" s="325"/>
      <c r="J2" s="325"/>
      <c r="K2" s="325"/>
      <c r="L2" s="249"/>
      <c r="M2" s="249"/>
      <c r="N2" s="249"/>
    </row>
    <row r="3" spans="1:14" ht="14.25">
      <c r="A3" s="190"/>
      <c r="B3" s="77"/>
      <c r="C3" s="249"/>
      <c r="D3" s="249"/>
      <c r="E3" s="249"/>
      <c r="F3" s="249"/>
      <c r="G3" s="249"/>
      <c r="H3" s="325" t="s">
        <v>380</v>
      </c>
      <c r="I3" s="325"/>
      <c r="J3" s="325"/>
      <c r="K3" s="325"/>
      <c r="L3" s="249"/>
      <c r="M3" s="249"/>
      <c r="N3" s="249"/>
    </row>
    <row r="4" spans="1:14" ht="22.5" customHeight="1">
      <c r="A4" s="190"/>
      <c r="B4" s="77"/>
      <c r="C4" s="249"/>
      <c r="D4" s="249"/>
      <c r="E4" s="249"/>
      <c r="F4" s="249"/>
      <c r="G4" s="249"/>
      <c r="H4" s="325" t="s">
        <v>382</v>
      </c>
      <c r="I4" s="325"/>
      <c r="J4" s="325"/>
      <c r="K4" s="325"/>
      <c r="L4" s="249"/>
      <c r="M4" s="249"/>
      <c r="N4" s="249"/>
    </row>
    <row r="5" spans="1:14" ht="20.25" customHeight="1">
      <c r="A5" s="190"/>
      <c r="B5" s="77"/>
      <c r="C5" s="249"/>
      <c r="D5" s="249"/>
      <c r="E5" s="249"/>
      <c r="F5" s="249"/>
      <c r="G5" s="249"/>
      <c r="H5" s="325" t="s">
        <v>381</v>
      </c>
      <c r="I5" s="325"/>
      <c r="J5" s="325"/>
      <c r="K5" s="325"/>
      <c r="L5" s="249"/>
      <c r="M5" s="249"/>
      <c r="N5" s="249"/>
    </row>
    <row r="6" spans="1:14" ht="14.25">
      <c r="A6" s="190"/>
      <c r="B6" s="77"/>
      <c r="C6" s="249"/>
      <c r="D6" s="249"/>
      <c r="E6" s="249"/>
      <c r="F6" s="249"/>
      <c r="G6" s="249"/>
      <c r="H6" s="353"/>
      <c r="I6" s="353"/>
      <c r="J6" s="353"/>
      <c r="K6" s="353"/>
      <c r="L6" s="249"/>
      <c r="M6" s="249"/>
      <c r="N6" s="249"/>
    </row>
    <row r="7" spans="1:8" ht="38.25" customHeight="1">
      <c r="A7" s="342" t="s">
        <v>352</v>
      </c>
      <c r="B7" s="343"/>
      <c r="C7" s="343"/>
      <c r="D7" s="343"/>
      <c r="E7" s="343"/>
      <c r="F7" s="343"/>
      <c r="G7" s="343"/>
      <c r="H7" s="343"/>
    </row>
    <row r="8" spans="1:8" ht="15">
      <c r="A8" s="342"/>
      <c r="B8" s="343"/>
      <c r="C8" s="343"/>
      <c r="D8" s="343"/>
      <c r="E8" s="343"/>
      <c r="F8" s="343"/>
      <c r="G8" s="343"/>
      <c r="H8" s="343"/>
    </row>
    <row r="9" spans="1:10" ht="15">
      <c r="A9" s="191"/>
      <c r="B9" s="192"/>
      <c r="C9" s="192"/>
      <c r="D9" s="192"/>
      <c r="E9" s="192"/>
      <c r="F9" s="192"/>
      <c r="G9" s="192"/>
      <c r="H9" s="244"/>
      <c r="J9" s="244" t="s">
        <v>357</v>
      </c>
    </row>
    <row r="10" spans="1:11" ht="12.75" customHeight="1">
      <c r="A10" s="345" t="s">
        <v>237</v>
      </c>
      <c r="B10" s="345" t="s">
        <v>238</v>
      </c>
      <c r="C10" s="349" t="s">
        <v>239</v>
      </c>
      <c r="D10" s="347" t="s">
        <v>354</v>
      </c>
      <c r="E10" s="347" t="s">
        <v>341</v>
      </c>
      <c r="F10" s="347" t="s">
        <v>434</v>
      </c>
      <c r="G10" s="349" t="s">
        <v>355</v>
      </c>
      <c r="H10" s="347" t="s">
        <v>353</v>
      </c>
      <c r="I10" s="349" t="s">
        <v>356</v>
      </c>
      <c r="J10" s="347" t="s">
        <v>358</v>
      </c>
      <c r="K10" s="349" t="s">
        <v>356</v>
      </c>
    </row>
    <row r="11" spans="1:12" ht="108.75" customHeight="1">
      <c r="A11" s="346"/>
      <c r="B11" s="335"/>
      <c r="C11" s="352"/>
      <c r="D11" s="348"/>
      <c r="E11" s="348"/>
      <c r="F11" s="348"/>
      <c r="G11" s="352"/>
      <c r="H11" s="348"/>
      <c r="I11" s="350"/>
      <c r="J11" s="348"/>
      <c r="K11" s="350"/>
      <c r="L11" s="243"/>
    </row>
    <row r="12" spans="1:11" ht="14.25">
      <c r="A12" s="194">
        <v>1</v>
      </c>
      <c r="B12" s="194">
        <v>2</v>
      </c>
      <c r="C12" s="194">
        <v>3</v>
      </c>
      <c r="D12" s="194"/>
      <c r="E12" s="194">
        <v>3</v>
      </c>
      <c r="F12" s="194">
        <v>4</v>
      </c>
      <c r="G12" s="194">
        <v>5</v>
      </c>
      <c r="H12" s="194">
        <v>6</v>
      </c>
      <c r="I12" s="9"/>
      <c r="J12" s="194">
        <v>6</v>
      </c>
      <c r="K12" s="9"/>
    </row>
    <row r="13" spans="1:11" ht="38.25" customHeight="1">
      <c r="A13" s="194" t="s">
        <v>240</v>
      </c>
      <c r="B13" s="195" t="s">
        <v>241</v>
      </c>
      <c r="C13" s="198">
        <f>C14+C16+C17+C18+C15+C27</f>
        <v>54264.20999999999</v>
      </c>
      <c r="D13" s="215">
        <f>370.643+D27</f>
        <v>383.253</v>
      </c>
      <c r="E13" s="215">
        <f>E14+E15+E16+E17+E18+E27</f>
        <v>54.92999999999999</v>
      </c>
      <c r="F13" s="215">
        <f>F14+F15+F16+F17+F18+F27</f>
        <v>554.2936363636363</v>
      </c>
      <c r="G13" s="215">
        <f>161.959/45*111+G27</f>
        <v>414.07439999999997</v>
      </c>
      <c r="H13" s="215">
        <f>H14+H15+H16+H17+H18+H27</f>
        <v>100.598899166304</v>
      </c>
      <c r="I13" s="16">
        <f>H13/E13%</f>
        <v>183.14017689114146</v>
      </c>
      <c r="J13" s="215">
        <f>J14+J15+J16+J17+J18+J27</f>
        <v>1015.134346132704</v>
      </c>
      <c r="K13" s="16">
        <f>J13/F13%</f>
        <v>183.14017689114146</v>
      </c>
    </row>
    <row r="14" spans="1:11" ht="21.75" customHeight="1">
      <c r="A14" s="194" t="s">
        <v>212</v>
      </c>
      <c r="B14" s="197" t="s">
        <v>242</v>
      </c>
      <c r="C14" s="198">
        <v>4869.26</v>
      </c>
      <c r="D14" s="196">
        <v>15.278</v>
      </c>
      <c r="E14" s="212">
        <v>4.71</v>
      </c>
      <c r="F14" s="212">
        <f>E14/11*111</f>
        <v>47.528181818181814</v>
      </c>
      <c r="G14" s="212">
        <f>7.849/45*111</f>
        <v>19.360866666666666</v>
      </c>
      <c r="H14" s="196">
        <f>(('выдача техусл'!G21+'проверка выполнения техусловий'!G23+'фактич.действия'!G27)*'табл 5-6'!D16)/1000</f>
        <v>2.7891377250000007</v>
      </c>
      <c r="I14" s="16">
        <f aca="true" t="shared" si="0" ref="I14:I35">H14/E14%</f>
        <v>59.217361464968164</v>
      </c>
      <c r="J14" s="196">
        <f>H14/11*111</f>
        <v>28.144935225000005</v>
      </c>
      <c r="K14" s="16">
        <f aca="true" t="shared" si="1" ref="K14:K35">J14/F14%</f>
        <v>59.21736146496817</v>
      </c>
    </row>
    <row r="15" spans="1:11" ht="18.75" customHeight="1">
      <c r="A15" s="194" t="s">
        <v>243</v>
      </c>
      <c r="B15" s="197" t="s">
        <v>244</v>
      </c>
      <c r="C15" s="198">
        <v>1967.02</v>
      </c>
      <c r="D15" s="196">
        <v>9.31</v>
      </c>
      <c r="E15" s="212">
        <v>1.95</v>
      </c>
      <c r="F15" s="212">
        <f>E15/11*111</f>
        <v>19.677272727272726</v>
      </c>
      <c r="G15" s="212">
        <f>1.75/45*111</f>
        <v>4.316666666666666</v>
      </c>
      <c r="H15" s="196">
        <f>E15*108.6%</f>
        <v>2.1176999999999997</v>
      </c>
      <c r="I15" s="16">
        <f t="shared" si="0"/>
        <v>108.59999999999998</v>
      </c>
      <c r="J15" s="196">
        <f aca="true" t="shared" si="2" ref="J15:J35">H15/11*111</f>
        <v>21.36951818181818</v>
      </c>
      <c r="K15" s="16">
        <f t="shared" si="1"/>
        <v>108.6</v>
      </c>
    </row>
    <row r="16" spans="1:11" ht="18" customHeight="1">
      <c r="A16" s="194" t="s">
        <v>245</v>
      </c>
      <c r="B16" s="197" t="s">
        <v>246</v>
      </c>
      <c r="C16" s="198">
        <v>23010.35</v>
      </c>
      <c r="D16" s="196">
        <v>221.556</v>
      </c>
      <c r="E16" s="212">
        <v>23.29</v>
      </c>
      <c r="F16" s="212">
        <f>E16/11*111</f>
        <v>235.0172727272727</v>
      </c>
      <c r="G16" s="212">
        <f>102.59/45*111</f>
        <v>253.05533333333335</v>
      </c>
      <c r="H16" s="196">
        <f>(('выдача техусл'!G14+'выдача техусл'!G15+'выдача техусл'!G16+'выдача техусл'!G13+'проверка выполнения техусловий'!G15+'проверка выполнения техусловий'!G16+'проверка выполнения техусловий'!G17+'проверка выполнения техусловий'!G13+'проверка выполнения техусловий'!G14+'фактич.действия'!G14+'фактич.действия'!G15+'фактич.действия'!G16+'фактич.действия'!G17+'фактич.действия'!G13+'фактич.действия'!G18+'фактич.действия'!G19)*'табл 5-6'!D16)/1000</f>
        <v>47.133888999999996</v>
      </c>
      <c r="I16" s="16">
        <f t="shared" si="0"/>
        <v>202.3782267067411</v>
      </c>
      <c r="J16" s="196">
        <f t="shared" si="2"/>
        <v>475.62378899999993</v>
      </c>
      <c r="K16" s="16">
        <f t="shared" si="1"/>
        <v>202.3782267067411</v>
      </c>
    </row>
    <row r="17" spans="1:11" ht="20.25" customHeight="1">
      <c r="A17" s="194" t="s">
        <v>247</v>
      </c>
      <c r="B17" s="197" t="s">
        <v>248</v>
      </c>
      <c r="C17" s="198">
        <v>6949.03</v>
      </c>
      <c r="D17" s="196">
        <v>66.939</v>
      </c>
      <c r="E17" s="212">
        <v>7.03</v>
      </c>
      <c r="F17" s="212">
        <f>E17/11*111</f>
        <v>70.93909090909092</v>
      </c>
      <c r="G17" s="212">
        <f>30.993/45*111</f>
        <v>76.4494</v>
      </c>
      <c r="H17" s="196">
        <f>(('выдача техусл'!G18+'выдача техусл'!G19+'выдача техусл'!G20+'выдача техусл'!G17+'проверка выполнения техусловий'!G20+'проверка выполнения техусловий'!G21+'проверка выполнения техусловий'!G22+'проверка выполнения техусловий'!G18+'проверка выполнения техусловий'!G19+'фактич.действия'!G21+'фактич.действия'!G22+'фактич.действия'!G23+'фактич.действия'!G24+'фактич.действия'!G20+'фактич.действия'!G25+'фактич.действия'!G26)*'табл 5-6'!D16)/1000</f>
        <v>14.234434477999999</v>
      </c>
      <c r="I17" s="16">
        <f t="shared" si="0"/>
        <v>202.481287027027</v>
      </c>
      <c r="J17" s="196">
        <f t="shared" si="2"/>
        <v>143.638384278</v>
      </c>
      <c r="K17" s="16">
        <f t="shared" si="1"/>
        <v>202.48128702702698</v>
      </c>
    </row>
    <row r="18" spans="1:11" ht="18.75" customHeight="1">
      <c r="A18" s="194" t="s">
        <v>249</v>
      </c>
      <c r="B18" s="197" t="s">
        <v>250</v>
      </c>
      <c r="C18" s="198">
        <v>11617.32</v>
      </c>
      <c r="D18" s="196">
        <v>57.56</v>
      </c>
      <c r="E18" s="242">
        <f>E19+E20+E21</f>
        <v>12.059999999999999</v>
      </c>
      <c r="F18" s="156">
        <f>F19+F20+F21</f>
        <v>121.69636363636361</v>
      </c>
      <c r="G18" s="156">
        <f>G19+G20+G21</f>
        <v>60.8921333333333</v>
      </c>
      <c r="H18" s="196">
        <f>(('выдача техусл'!G22+'проверка выполнения техусловий'!G24+'фактич.действия'!G28)*'табл 5-6'!D16)/1000-H15</f>
        <v>23.545284481200007</v>
      </c>
      <c r="I18" s="16">
        <f t="shared" si="0"/>
        <v>195.2345313532339</v>
      </c>
      <c r="J18" s="196">
        <f t="shared" si="2"/>
        <v>237.59332521938188</v>
      </c>
      <c r="K18" s="16">
        <f t="shared" si="1"/>
        <v>195.2345313532339</v>
      </c>
    </row>
    <row r="19" spans="1:11" ht="24.75" customHeight="1">
      <c r="A19" s="194" t="s">
        <v>251</v>
      </c>
      <c r="B19" s="197" t="s">
        <v>252</v>
      </c>
      <c r="C19" s="198">
        <v>3409.85</v>
      </c>
      <c r="D19" s="196">
        <v>16.04</v>
      </c>
      <c r="E19" s="156">
        <v>3.36</v>
      </c>
      <c r="F19" s="212">
        <f aca="true" t="shared" si="3" ref="F19:F30">E19/11*111</f>
        <v>33.90545454545454</v>
      </c>
      <c r="G19" s="212">
        <f>1.001/45*111</f>
        <v>2.469133333333333</v>
      </c>
      <c r="H19" s="196">
        <f>E19*107.4%</f>
        <v>3.6086400000000003</v>
      </c>
      <c r="I19" s="16">
        <f t="shared" si="0"/>
        <v>107.40000000000002</v>
      </c>
      <c r="J19" s="196">
        <f t="shared" si="2"/>
        <v>36.41445818181818</v>
      </c>
      <c r="K19" s="16">
        <f t="shared" si="1"/>
        <v>107.40000000000002</v>
      </c>
    </row>
    <row r="20" spans="1:11" ht="46.5" customHeight="1">
      <c r="A20" s="194" t="s">
        <v>253</v>
      </c>
      <c r="B20" s="195" t="s">
        <v>254</v>
      </c>
      <c r="C20" s="198">
        <v>98.89</v>
      </c>
      <c r="D20" s="196">
        <v>0.47</v>
      </c>
      <c r="E20" s="156">
        <v>0.1</v>
      </c>
      <c r="F20" s="212">
        <f t="shared" si="3"/>
        <v>1.0090909090909093</v>
      </c>
      <c r="G20" s="212">
        <f>0.107/45*111</f>
        <v>0.2639333333333333</v>
      </c>
      <c r="H20" s="196">
        <f>E20*107.4%</f>
        <v>0.10740000000000001</v>
      </c>
      <c r="I20" s="16">
        <f t="shared" si="0"/>
        <v>107.4</v>
      </c>
      <c r="J20" s="196">
        <f t="shared" si="2"/>
        <v>1.0837636363636365</v>
      </c>
      <c r="K20" s="16">
        <f t="shared" si="1"/>
        <v>107.39999999999999</v>
      </c>
    </row>
    <row r="21" spans="1:11" ht="33.75" customHeight="1">
      <c r="A21" s="194" t="s">
        <v>255</v>
      </c>
      <c r="B21" s="195" t="s">
        <v>256</v>
      </c>
      <c r="C21" s="198">
        <v>8455.63</v>
      </c>
      <c r="D21" s="196">
        <v>41.05</v>
      </c>
      <c r="E21" s="212">
        <f>E22+E23+E24+E25+E26</f>
        <v>8.6</v>
      </c>
      <c r="F21" s="212">
        <f t="shared" si="3"/>
        <v>86.78181818181817</v>
      </c>
      <c r="G21" s="212">
        <f>G22+G23+G24+G25+G26</f>
        <v>58.15906666666663</v>
      </c>
      <c r="H21" s="196">
        <f>H18-H19-H20</f>
        <v>19.829244481200007</v>
      </c>
      <c r="I21" s="16">
        <f t="shared" si="0"/>
        <v>230.57261024651172</v>
      </c>
      <c r="J21" s="196">
        <f t="shared" si="2"/>
        <v>200.09510340120008</v>
      </c>
      <c r="K21" s="16">
        <f t="shared" si="1"/>
        <v>230.57261024651174</v>
      </c>
    </row>
    <row r="22" spans="1:11" ht="20.25" customHeight="1">
      <c r="A22" s="194" t="s">
        <v>257</v>
      </c>
      <c r="B22" s="197" t="s">
        <v>258</v>
      </c>
      <c r="C22" s="198">
        <v>281.94</v>
      </c>
      <c r="D22" s="196">
        <v>1.34</v>
      </c>
      <c r="E22" s="212">
        <v>0.28</v>
      </c>
      <c r="F22" s="212">
        <f t="shared" si="3"/>
        <v>2.8254545454545457</v>
      </c>
      <c r="G22" s="212">
        <f>0.397/45*111</f>
        <v>0.9792666666666667</v>
      </c>
      <c r="H22" s="196">
        <f>E22*107.4%</f>
        <v>0.30072000000000004</v>
      </c>
      <c r="I22" s="16">
        <f t="shared" si="0"/>
        <v>107.4</v>
      </c>
      <c r="J22" s="196">
        <f t="shared" si="2"/>
        <v>3.0345381818181822</v>
      </c>
      <c r="K22" s="16">
        <f t="shared" si="1"/>
        <v>107.4</v>
      </c>
    </row>
    <row r="23" spans="1:11" ht="20.25" customHeight="1">
      <c r="A23" s="194" t="s">
        <v>259</v>
      </c>
      <c r="B23" s="197" t="s">
        <v>260</v>
      </c>
      <c r="C23" s="198">
        <v>1927.88</v>
      </c>
      <c r="D23" s="196">
        <v>9.02</v>
      </c>
      <c r="E23" s="156">
        <v>1.89</v>
      </c>
      <c r="F23" s="212">
        <f t="shared" si="3"/>
        <v>19.07181818181818</v>
      </c>
      <c r="G23" s="212">
        <f>0.027/45*111</f>
        <v>0.06659999999999999</v>
      </c>
      <c r="H23" s="196">
        <f>E23*107.4%</f>
        <v>2.02986</v>
      </c>
      <c r="I23" s="16">
        <f t="shared" si="0"/>
        <v>107.4</v>
      </c>
      <c r="J23" s="196">
        <f t="shared" si="2"/>
        <v>20.48313272727273</v>
      </c>
      <c r="K23" s="16">
        <f t="shared" si="1"/>
        <v>107.4</v>
      </c>
    </row>
    <row r="24" spans="1:11" ht="45.75" customHeight="1">
      <c r="A24" s="194" t="s">
        <v>261</v>
      </c>
      <c r="B24" s="195" t="s">
        <v>262</v>
      </c>
      <c r="C24" s="198">
        <v>233.96</v>
      </c>
      <c r="D24" s="196">
        <v>1.1</v>
      </c>
      <c r="E24" s="156">
        <v>0.23</v>
      </c>
      <c r="F24" s="212">
        <f t="shared" si="3"/>
        <v>2.320909090909091</v>
      </c>
      <c r="G24" s="212">
        <f>0.502/45*111</f>
        <v>1.2382666666666666</v>
      </c>
      <c r="H24" s="196">
        <f>E24*107.4%</f>
        <v>0.24702000000000002</v>
      </c>
      <c r="I24" s="16">
        <f t="shared" si="0"/>
        <v>107.4</v>
      </c>
      <c r="J24" s="196">
        <f t="shared" si="2"/>
        <v>2.492656363636364</v>
      </c>
      <c r="K24" s="16">
        <f t="shared" si="1"/>
        <v>107.40000000000002</v>
      </c>
    </row>
    <row r="25" spans="1:11" ht="24" customHeight="1">
      <c r="A25" s="194" t="s">
        <v>263</v>
      </c>
      <c r="B25" s="197" t="s">
        <v>264</v>
      </c>
      <c r="C25" s="198">
        <v>3685.78</v>
      </c>
      <c r="D25" s="196">
        <v>17.33</v>
      </c>
      <c r="E25" s="156">
        <v>3.63</v>
      </c>
      <c r="F25" s="212">
        <f t="shared" si="3"/>
        <v>36.63</v>
      </c>
      <c r="G25" s="212">
        <f>2.59/45*111</f>
        <v>6.3886666666666665</v>
      </c>
      <c r="H25" s="196">
        <v>1.4</v>
      </c>
      <c r="I25" s="16">
        <f t="shared" si="0"/>
        <v>38.56749311294766</v>
      </c>
      <c r="J25" s="196">
        <f t="shared" si="2"/>
        <v>14.127272727272725</v>
      </c>
      <c r="K25" s="16">
        <f t="shared" si="1"/>
        <v>38.56749311294765</v>
      </c>
    </row>
    <row r="26" spans="1:11" ht="32.25" customHeight="1">
      <c r="A26" s="194" t="s">
        <v>265</v>
      </c>
      <c r="B26" s="195" t="s">
        <v>266</v>
      </c>
      <c r="C26" s="198">
        <f>C21-C22-C23-C24-C25</f>
        <v>2326.0699999999993</v>
      </c>
      <c r="D26" s="156">
        <f>D21-D22-D23-D24-D25</f>
        <v>12.259999999999994</v>
      </c>
      <c r="E26" s="156">
        <v>2.57</v>
      </c>
      <c r="F26" s="156">
        <f>F21-F22-F23-F24-F25</f>
        <v>25.933636363636353</v>
      </c>
      <c r="G26" s="212">
        <f>G13-G14-G15-G16-G17-G19-G20-G22-G23-G24-G25</f>
        <v>49.48626666666664</v>
      </c>
      <c r="H26" s="196">
        <f>H21-H22-H23-H24-H25</f>
        <v>15.85164448120001</v>
      </c>
      <c r="I26" s="16">
        <f t="shared" si="0"/>
        <v>616.7955051050589</v>
      </c>
      <c r="J26" s="196">
        <f t="shared" si="2"/>
        <v>159.9575034012001</v>
      </c>
      <c r="K26" s="16">
        <f t="shared" si="1"/>
        <v>616.7955051050591</v>
      </c>
    </row>
    <row r="27" spans="1:11" ht="24" customHeight="1">
      <c r="A27" s="194" t="s">
        <v>267</v>
      </c>
      <c r="B27" s="197" t="s">
        <v>268</v>
      </c>
      <c r="C27" s="198">
        <v>5851.23</v>
      </c>
      <c r="D27" s="212">
        <f>D28+D29+D30+D31+D32</f>
        <v>12.61</v>
      </c>
      <c r="E27" s="156">
        <v>5.89</v>
      </c>
      <c r="F27" s="212">
        <f t="shared" si="3"/>
        <v>59.43545454545454</v>
      </c>
      <c r="G27" s="212">
        <f>G28+G29+G30+G31+G32</f>
        <v>14.575533333333333</v>
      </c>
      <c r="H27" s="196">
        <f>(('выдача техусл'!G23+'проверка выполнения техусловий'!G25+'фактич.действия'!G29)*'табл 5-6'!D16)/1000</f>
        <v>10.778453482104</v>
      </c>
      <c r="I27" s="16">
        <f t="shared" si="0"/>
        <v>182.99581463674025</v>
      </c>
      <c r="J27" s="196">
        <f t="shared" si="2"/>
        <v>108.764394228504</v>
      </c>
      <c r="K27" s="16">
        <f t="shared" si="1"/>
        <v>182.99581463674028</v>
      </c>
    </row>
    <row r="28" spans="1:11" ht="21.75" customHeight="1">
      <c r="A28" s="194" t="s">
        <v>269</v>
      </c>
      <c r="B28" s="195" t="s">
        <v>270</v>
      </c>
      <c r="C28" s="198">
        <v>0</v>
      </c>
      <c r="D28" s="196">
        <v>5.73</v>
      </c>
      <c r="E28" s="156">
        <v>0</v>
      </c>
      <c r="F28" s="212">
        <f t="shared" si="3"/>
        <v>0</v>
      </c>
      <c r="G28" s="212">
        <f>0.666/45*111</f>
        <v>1.6428</v>
      </c>
      <c r="H28" s="196">
        <v>0</v>
      </c>
      <c r="I28" s="16"/>
      <c r="J28" s="196">
        <f t="shared" si="2"/>
        <v>0</v>
      </c>
      <c r="K28" s="16"/>
    </row>
    <row r="29" spans="1:11" ht="18.75" customHeight="1">
      <c r="A29" s="194" t="s">
        <v>271</v>
      </c>
      <c r="B29" s="197" t="s">
        <v>272</v>
      </c>
      <c r="C29" s="198">
        <v>0</v>
      </c>
      <c r="D29" s="196"/>
      <c r="E29" s="156">
        <v>0</v>
      </c>
      <c r="F29" s="212">
        <f t="shared" si="3"/>
        <v>0</v>
      </c>
      <c r="G29" s="212"/>
      <c r="H29" s="196">
        <v>0</v>
      </c>
      <c r="I29" s="16"/>
      <c r="J29" s="196">
        <f t="shared" si="2"/>
        <v>0</v>
      </c>
      <c r="K29" s="16"/>
    </row>
    <row r="30" spans="1:11" ht="18.75" customHeight="1">
      <c r="A30" s="194" t="s">
        <v>273</v>
      </c>
      <c r="B30" s="197" t="s">
        <v>274</v>
      </c>
      <c r="C30" s="198">
        <v>0</v>
      </c>
      <c r="D30" s="196">
        <v>1.58</v>
      </c>
      <c r="E30" s="212">
        <v>0</v>
      </c>
      <c r="F30" s="212">
        <f t="shared" si="3"/>
        <v>0</v>
      </c>
      <c r="G30" s="212">
        <f>3.21/45*111</f>
        <v>7.918</v>
      </c>
      <c r="H30" s="196">
        <v>0</v>
      </c>
      <c r="I30" s="16"/>
      <c r="J30" s="196">
        <f t="shared" si="2"/>
        <v>0</v>
      </c>
      <c r="K30" s="16"/>
    </row>
    <row r="31" spans="1:11" ht="33.75" customHeight="1">
      <c r="A31" s="194" t="s">
        <v>275</v>
      </c>
      <c r="B31" s="195" t="s">
        <v>276</v>
      </c>
      <c r="C31" s="198">
        <f>C27-C32</f>
        <v>4680.9839999999995</v>
      </c>
      <c r="D31" s="196">
        <v>5.3</v>
      </c>
      <c r="E31" s="212">
        <f>E27-E32</f>
        <v>4.712</v>
      </c>
      <c r="F31" s="212">
        <f>F27-F32</f>
        <v>47.54836363636363</v>
      </c>
      <c r="G31" s="212">
        <f>2.033/45*111</f>
        <v>5.014733333333333</v>
      </c>
      <c r="H31" s="196">
        <f>H27-H28-H29-H30</f>
        <v>10.778453482104</v>
      </c>
      <c r="I31" s="16">
        <f t="shared" si="0"/>
        <v>228.74476829592533</v>
      </c>
      <c r="J31" s="196">
        <f t="shared" si="2"/>
        <v>108.764394228504</v>
      </c>
      <c r="K31" s="16">
        <f t="shared" si="1"/>
        <v>228.74476829592533</v>
      </c>
    </row>
    <row r="32" spans="1:11" ht="24" customHeight="1">
      <c r="A32" s="194" t="s">
        <v>277</v>
      </c>
      <c r="B32" s="197" t="s">
        <v>278</v>
      </c>
      <c r="C32" s="198">
        <f>C27*0.2</f>
        <v>1170.2459999999999</v>
      </c>
      <c r="D32" s="196"/>
      <c r="E32" s="196">
        <f>E27*0.2</f>
        <v>1.178</v>
      </c>
      <c r="F32" s="196">
        <f>F27*0.2</f>
        <v>11.887090909090908</v>
      </c>
      <c r="G32" s="212"/>
      <c r="H32" s="198"/>
      <c r="I32" s="16"/>
      <c r="J32" s="196"/>
      <c r="K32" s="16"/>
    </row>
    <row r="33" spans="1:11" ht="105" customHeight="1">
      <c r="A33" s="194" t="s">
        <v>279</v>
      </c>
      <c r="B33" s="195" t="s">
        <v>280</v>
      </c>
      <c r="C33" s="198"/>
      <c r="D33" s="196"/>
      <c r="E33" s="212"/>
      <c r="F33" s="212"/>
      <c r="G33" s="212"/>
      <c r="H33" s="196"/>
      <c r="I33" s="16"/>
      <c r="J33" s="196"/>
      <c r="K33" s="16"/>
    </row>
    <row r="34" spans="1:11" ht="27.75" customHeight="1">
      <c r="A34" s="194" t="s">
        <v>281</v>
      </c>
      <c r="B34" s="197" t="s">
        <v>282</v>
      </c>
      <c r="C34" s="198">
        <v>0</v>
      </c>
      <c r="D34" s="196"/>
      <c r="E34" s="156"/>
      <c r="F34" s="212"/>
      <c r="G34" s="212"/>
      <c r="H34" s="196"/>
      <c r="I34" s="16"/>
      <c r="J34" s="196"/>
      <c r="K34" s="16"/>
    </row>
    <row r="35" spans="1:11" ht="32.25" customHeight="1">
      <c r="A35" s="194" t="s">
        <v>283</v>
      </c>
      <c r="B35" s="279" t="s">
        <v>284</v>
      </c>
      <c r="C35" s="198">
        <f>C13+C33</f>
        <v>54264.20999999999</v>
      </c>
      <c r="D35" s="215">
        <f>D13+D33+D34</f>
        <v>383.253</v>
      </c>
      <c r="E35" s="215">
        <f>E13+E33+E34</f>
        <v>54.92999999999999</v>
      </c>
      <c r="F35" s="215">
        <f>F13+F33+F34</f>
        <v>554.2936363636363</v>
      </c>
      <c r="G35" s="215">
        <f>G13+G33+G34</f>
        <v>414.07439999999997</v>
      </c>
      <c r="H35" s="215">
        <f>H13+H33</f>
        <v>100.598899166304</v>
      </c>
      <c r="I35" s="16">
        <f t="shared" si="0"/>
        <v>183.14017689114146</v>
      </c>
      <c r="J35" s="215">
        <f t="shared" si="2"/>
        <v>1015.134346132704</v>
      </c>
      <c r="K35" s="16">
        <f t="shared" si="1"/>
        <v>183.14017689114146</v>
      </c>
    </row>
    <row r="36" spans="1:8" ht="14.25">
      <c r="A36" s="190"/>
      <c r="B36" s="77"/>
      <c r="C36" s="77"/>
      <c r="D36" s="77"/>
      <c r="E36" s="77"/>
      <c r="F36" s="77"/>
      <c r="G36" s="77"/>
      <c r="H36" s="77"/>
    </row>
    <row r="37" spans="1:8" ht="14.25">
      <c r="A37" s="190"/>
      <c r="B37" s="77"/>
      <c r="C37" s="77"/>
      <c r="D37" s="77"/>
      <c r="E37" s="77"/>
      <c r="F37" s="77"/>
      <c r="G37" s="77"/>
      <c r="H37" s="77"/>
    </row>
    <row r="38" spans="1:8" ht="14.25">
      <c r="A38" s="190"/>
      <c r="B38" s="77"/>
      <c r="C38" s="77"/>
      <c r="D38" s="77"/>
      <c r="E38" s="77"/>
      <c r="F38" s="77"/>
      <c r="G38" s="77"/>
      <c r="H38" s="77"/>
    </row>
    <row r="39" spans="1:8" ht="14.25">
      <c r="A39" s="190"/>
      <c r="B39" s="77"/>
      <c r="C39" s="77"/>
      <c r="D39" s="77"/>
      <c r="E39" s="77"/>
      <c r="F39" s="77"/>
      <c r="G39" s="77"/>
      <c r="H39" s="77"/>
    </row>
    <row r="40" spans="1:8" ht="14.25">
      <c r="A40" s="344"/>
      <c r="B40" s="344"/>
      <c r="C40" s="344"/>
      <c r="D40" s="344"/>
      <c r="E40" s="344"/>
      <c r="F40" s="344"/>
      <c r="G40" s="344"/>
      <c r="H40" s="344"/>
    </row>
    <row r="41" spans="1:8" ht="14.25">
      <c r="A41" s="190"/>
      <c r="B41" s="77"/>
      <c r="C41" s="77"/>
      <c r="D41" s="77"/>
      <c r="E41" s="77"/>
      <c r="F41" s="77"/>
      <c r="G41" s="77"/>
      <c r="H41" s="77"/>
    </row>
    <row r="42" ht="12.75">
      <c r="A42" s="6"/>
    </row>
    <row r="43" ht="12.75">
      <c r="A43" s="6"/>
    </row>
  </sheetData>
  <sheetProtection/>
  <mergeCells count="20">
    <mergeCell ref="H1:K1"/>
    <mergeCell ref="H2:K2"/>
    <mergeCell ref="H3:K3"/>
    <mergeCell ref="H4:K4"/>
    <mergeCell ref="C10:C11"/>
    <mergeCell ref="F10:F11"/>
    <mergeCell ref="G10:G11"/>
    <mergeCell ref="I10:I11"/>
    <mergeCell ref="H5:K5"/>
    <mergeCell ref="H6:K6"/>
    <mergeCell ref="A8:H8"/>
    <mergeCell ref="A40:H40"/>
    <mergeCell ref="A7:H7"/>
    <mergeCell ref="A10:A11"/>
    <mergeCell ref="J10:J11"/>
    <mergeCell ref="K10:K11"/>
    <mergeCell ref="B10:B11"/>
    <mergeCell ref="D10:D11"/>
    <mergeCell ref="E10:E11"/>
    <mergeCell ref="H10:H11"/>
  </mergeCells>
  <printOptions/>
  <pageMargins left="0.7086614173228347" right="0.11811023622047245" top="0.7480314960629921" bottom="0.7480314960629921" header="0.31496062992125984" footer="0.31496062992125984"/>
  <pageSetup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25">
      <selection activeCell="A40" sqref="A40:D40"/>
    </sheetView>
  </sheetViews>
  <sheetFormatPr defaultColWidth="9.00390625" defaultRowHeight="12.75"/>
  <cols>
    <col min="1" max="1" width="7.375" style="0" customWidth="1"/>
    <col min="2" max="2" width="52.125" style="0" customWidth="1"/>
    <col min="3" max="3" width="27.25390625" style="0" customWidth="1"/>
    <col min="4" max="4" width="28.875" style="0" customWidth="1"/>
    <col min="5" max="5" width="10.625" style="0" customWidth="1"/>
  </cols>
  <sheetData>
    <row r="1" spans="1:4" ht="12.75">
      <c r="A1" s="6"/>
      <c r="C1" s="354" t="s">
        <v>234</v>
      </c>
      <c r="D1" s="354"/>
    </row>
    <row r="2" spans="1:4" ht="12.75">
      <c r="A2" s="6"/>
      <c r="C2" s="354" t="s">
        <v>235</v>
      </c>
      <c r="D2" s="354"/>
    </row>
    <row r="3" spans="1:4" ht="12.75">
      <c r="A3" s="6"/>
      <c r="C3" s="354" t="s">
        <v>236</v>
      </c>
      <c r="D3" s="354"/>
    </row>
    <row r="4" spans="1:4" ht="12.75">
      <c r="A4" s="6"/>
      <c r="C4" s="355" t="s">
        <v>285</v>
      </c>
      <c r="D4" s="355"/>
    </row>
    <row r="5" spans="1:4" ht="12.75">
      <c r="A5" s="6"/>
      <c r="C5" s="325" t="s">
        <v>340</v>
      </c>
      <c r="D5" s="325"/>
    </row>
    <row r="6" spans="1:4" ht="12.75">
      <c r="A6" s="6"/>
      <c r="C6" s="199"/>
      <c r="D6" s="199"/>
    </row>
    <row r="7" spans="1:4" ht="36" customHeight="1">
      <c r="A7" s="351" t="s">
        <v>342</v>
      </c>
      <c r="B7" s="356"/>
      <c r="C7" s="356"/>
      <c r="D7" s="356"/>
    </row>
    <row r="8" spans="1:4" ht="12.75">
      <c r="A8" s="351"/>
      <c r="B8" s="356"/>
      <c r="C8" s="356"/>
      <c r="D8" s="356"/>
    </row>
    <row r="9" spans="1:4" ht="12.75">
      <c r="A9" s="351"/>
      <c r="B9" s="356"/>
      <c r="C9" s="356"/>
      <c r="D9" s="356"/>
    </row>
    <row r="10" spans="1:4" ht="12.75">
      <c r="A10" s="6"/>
      <c r="D10" s="200" t="s">
        <v>351</v>
      </c>
    </row>
    <row r="11" spans="1:5" ht="12.75" customHeight="1">
      <c r="A11" s="349" t="s">
        <v>10</v>
      </c>
      <c r="B11" s="349" t="s">
        <v>238</v>
      </c>
      <c r="C11" s="347" t="s">
        <v>341</v>
      </c>
      <c r="D11" s="347" t="s">
        <v>353</v>
      </c>
      <c r="E11" s="357" t="s">
        <v>349</v>
      </c>
    </row>
    <row r="12" spans="1:5" ht="63" customHeight="1">
      <c r="A12" s="350"/>
      <c r="B12" s="350"/>
      <c r="C12" s="348"/>
      <c r="D12" s="348"/>
      <c r="E12" s="358"/>
    </row>
    <row r="13" spans="1:5" ht="12.75">
      <c r="A13" s="8">
        <v>1</v>
      </c>
      <c r="B13" s="8">
        <v>2</v>
      </c>
      <c r="C13" s="8">
        <v>3</v>
      </c>
      <c r="D13" s="8">
        <v>4</v>
      </c>
      <c r="E13" s="9"/>
    </row>
    <row r="14" spans="1:5" ht="31.5" customHeight="1">
      <c r="A14" s="8"/>
      <c r="B14" s="10" t="s">
        <v>348</v>
      </c>
      <c r="C14" s="215">
        <f>(C15+C16+C17+C18+C19+C28)</f>
        <v>82.59150375939849</v>
      </c>
      <c r="D14" s="215">
        <f>D15+D16+D17+D18+D19+D28</f>
        <v>151.2765400997053</v>
      </c>
      <c r="E14" s="248">
        <f>D14/C14%</f>
        <v>183.16235110623083</v>
      </c>
    </row>
    <row r="15" spans="1:5" ht="13.5" customHeight="1">
      <c r="A15" s="211" t="s">
        <v>296</v>
      </c>
      <c r="B15" s="9" t="s">
        <v>242</v>
      </c>
      <c r="C15" s="212">
        <f>('Расчет НВВ'!E14/'табл 5-6'!E16)*1000</f>
        <v>7.082706766917293</v>
      </c>
      <c r="D15" s="212">
        <f>('Расчет НВВ'!H14/'табл 5-6'!$E$16)*1000</f>
        <v>4.194192067669174</v>
      </c>
      <c r="E15" s="248">
        <f aca="true" t="shared" si="0" ref="E15:E36">D15/C15%</f>
        <v>59.21736146496817</v>
      </c>
    </row>
    <row r="16" spans="1:5" ht="15" customHeight="1">
      <c r="A16" s="211" t="s">
        <v>297</v>
      </c>
      <c r="B16" s="9" t="s">
        <v>343</v>
      </c>
      <c r="C16" s="212">
        <f>('Расчет НВВ'!E15/'табл 5-6'!E16)*1000</f>
        <v>2.932330827067669</v>
      </c>
      <c r="D16" s="212">
        <f>('Расчет НВВ'!H15/'табл 5-6'!$E$16)*1000</f>
        <v>3.1845112781954885</v>
      </c>
      <c r="E16" s="248">
        <f t="shared" si="0"/>
        <v>108.60000000000001</v>
      </c>
    </row>
    <row r="17" spans="1:5" ht="15" customHeight="1">
      <c r="A17" s="211" t="s">
        <v>299</v>
      </c>
      <c r="B17" s="9" t="s">
        <v>298</v>
      </c>
      <c r="C17" s="212">
        <f>('Расчет НВВ'!E16/'табл 5-6'!E16)*1000</f>
        <v>35.02255639097744</v>
      </c>
      <c r="D17" s="212">
        <f>('Расчет НВВ'!H16/'табл 5-6'!$E$16)*1000</f>
        <v>70.87802857142857</v>
      </c>
      <c r="E17" s="248">
        <f t="shared" si="0"/>
        <v>202.3782267067411</v>
      </c>
    </row>
    <row r="18" spans="1:5" ht="14.25" customHeight="1">
      <c r="A18" s="8" t="s">
        <v>247</v>
      </c>
      <c r="B18" s="9" t="s">
        <v>300</v>
      </c>
      <c r="C18" s="212">
        <f>('Расчет НВВ'!E17/'табл 5-6'!E16)*1000</f>
        <v>10.571428571428571</v>
      </c>
      <c r="D18" s="212">
        <f>('Расчет НВВ'!H17/'табл 5-6'!$E$16)*1000</f>
        <v>21.405164628571427</v>
      </c>
      <c r="E18" s="248">
        <f t="shared" si="0"/>
        <v>202.48128702702704</v>
      </c>
    </row>
    <row r="19" spans="1:5" ht="15" customHeight="1">
      <c r="A19" s="8" t="s">
        <v>249</v>
      </c>
      <c r="B19" s="9" t="s">
        <v>345</v>
      </c>
      <c r="C19" s="242">
        <f>('Расчет НВВ'!E18/'табл 5-6'!E16)*1000-0.01</f>
        <v>18.12533834586466</v>
      </c>
      <c r="D19" s="212">
        <f>('Расчет НВВ'!H18/'табл 5-6'!$E$16)*1000</f>
        <v>35.40644282887219</v>
      </c>
      <c r="E19" s="248">
        <f t="shared" si="0"/>
        <v>195.34224494601094</v>
      </c>
    </row>
    <row r="20" spans="1:5" ht="18" customHeight="1">
      <c r="A20" s="211" t="s">
        <v>251</v>
      </c>
      <c r="B20" s="9" t="s">
        <v>252</v>
      </c>
      <c r="C20" s="212">
        <f>('Расчет НВВ'!E19/'табл 5-6'!E16)*1000</f>
        <v>5.052631578947368</v>
      </c>
      <c r="D20" s="212">
        <f>('Расчет НВВ'!H19/'табл 5-6'!$E$16)*1000</f>
        <v>5.4265263157894745</v>
      </c>
      <c r="E20" s="248">
        <f t="shared" si="0"/>
        <v>107.40000000000002</v>
      </c>
    </row>
    <row r="21" spans="1:5" ht="19.5" customHeight="1">
      <c r="A21" s="194" t="s">
        <v>253</v>
      </c>
      <c r="B21" s="195" t="s">
        <v>344</v>
      </c>
      <c r="C21" s="212">
        <f>('Расчет НВВ'!E20/'табл 5-6'!E16)*1000</f>
        <v>0.15037593984962408</v>
      </c>
      <c r="D21" s="212">
        <f>('Расчет НВВ'!H20/'табл 5-6'!$E$16)*1000</f>
        <v>0.16150375939849626</v>
      </c>
      <c r="E21" s="248">
        <f t="shared" si="0"/>
        <v>107.4</v>
      </c>
    </row>
    <row r="22" spans="1:5" ht="28.5">
      <c r="A22" s="194" t="s">
        <v>255</v>
      </c>
      <c r="B22" s="195" t="s">
        <v>256</v>
      </c>
      <c r="C22" s="212">
        <f>('Расчет НВВ'!E21/'табл 5-6'!E16)*1000</f>
        <v>12.932330827067668</v>
      </c>
      <c r="D22" s="212">
        <f>('Расчет НВВ'!H21/'табл 5-6'!$E$16)*1000</f>
        <v>29.81841275368422</v>
      </c>
      <c r="E22" s="248">
        <f t="shared" si="0"/>
        <v>230.57261024651174</v>
      </c>
    </row>
    <row r="23" spans="1:5" ht="17.25" customHeight="1">
      <c r="A23" s="194" t="s">
        <v>257</v>
      </c>
      <c r="B23" s="197" t="s">
        <v>258</v>
      </c>
      <c r="C23" s="212">
        <f>('Расчет НВВ'!E22/'табл 5-6'!E16)*1000</f>
        <v>0.4210526315789474</v>
      </c>
      <c r="D23" s="212">
        <f>('Расчет НВВ'!H22/'табл 5-6'!$E$16)*1000</f>
        <v>0.45221052631578956</v>
      </c>
      <c r="E23" s="248">
        <f t="shared" si="0"/>
        <v>107.40000000000002</v>
      </c>
    </row>
    <row r="24" spans="1:5" ht="17.25" customHeight="1">
      <c r="A24" s="194" t="s">
        <v>259</v>
      </c>
      <c r="B24" s="197" t="s">
        <v>260</v>
      </c>
      <c r="C24" s="212">
        <f>('Расчет НВВ'!E23/'табл 5-6'!E16)*1000</f>
        <v>2.8421052631578947</v>
      </c>
      <c r="D24" s="212">
        <f>('Расчет НВВ'!H23/'табл 5-6'!$E$16)*1000</f>
        <v>3.0524210526315794</v>
      </c>
      <c r="E24" s="248">
        <f t="shared" si="0"/>
        <v>107.40000000000002</v>
      </c>
    </row>
    <row r="25" spans="1:5" ht="30" customHeight="1">
      <c r="A25" s="194" t="s">
        <v>261</v>
      </c>
      <c r="B25" s="195" t="s">
        <v>262</v>
      </c>
      <c r="C25" s="212">
        <f>('Расчет НВВ'!E24/'табл 5-6'!E16)*1000</f>
        <v>0.3458646616541354</v>
      </c>
      <c r="D25" s="212">
        <f>('Расчет НВВ'!H24/'табл 5-6'!$E$16)*1000</f>
        <v>0.3714586466165414</v>
      </c>
      <c r="E25" s="248">
        <f t="shared" si="0"/>
        <v>107.39999999999999</v>
      </c>
    </row>
    <row r="26" spans="1:5" ht="16.5" customHeight="1">
      <c r="A26" s="194" t="s">
        <v>263</v>
      </c>
      <c r="B26" s="197" t="s">
        <v>264</v>
      </c>
      <c r="C26" s="212">
        <f>('Расчет НВВ'!E25/'табл 5-6'!E16)*1000</f>
        <v>5.458646616541353</v>
      </c>
      <c r="D26" s="212">
        <f>('Расчет НВВ'!H25/'табл 5-6'!$E$16)*1000</f>
        <v>2.1052631578947367</v>
      </c>
      <c r="E26" s="248">
        <f t="shared" si="0"/>
        <v>38.56749311294766</v>
      </c>
    </row>
    <row r="27" spans="1:5" ht="27.75" customHeight="1">
      <c r="A27" s="194" t="s">
        <v>265</v>
      </c>
      <c r="B27" s="195" t="s">
        <v>266</v>
      </c>
      <c r="C27" s="212">
        <f>('Расчет НВВ'!E26/'табл 5-6'!E16)*1000</f>
        <v>3.8646616541353382</v>
      </c>
      <c r="D27" s="212">
        <f>('Расчет НВВ'!H26/'табл 5-6'!$E$16)*1000</f>
        <v>23.83705937022558</v>
      </c>
      <c r="E27" s="248">
        <f t="shared" si="0"/>
        <v>616.7955051050589</v>
      </c>
    </row>
    <row r="28" spans="1:5" ht="16.5" customHeight="1">
      <c r="A28" s="194" t="s">
        <v>267</v>
      </c>
      <c r="B28" s="197" t="s">
        <v>268</v>
      </c>
      <c r="C28" s="212">
        <f>C29+C30+C31+C32+C33</f>
        <v>8.857142857142858</v>
      </c>
      <c r="D28" s="212">
        <f>('Расчет НВВ'!H27/'табл 5-6'!$E$16)*1000</f>
        <v>16.20820072496842</v>
      </c>
      <c r="E28" s="248">
        <f t="shared" si="0"/>
        <v>182.99581463674022</v>
      </c>
    </row>
    <row r="29" spans="1:5" ht="16.5" customHeight="1">
      <c r="A29" s="194" t="s">
        <v>269</v>
      </c>
      <c r="B29" s="195" t="s">
        <v>270</v>
      </c>
      <c r="C29" s="212">
        <f>('Расчет НВВ'!E28/'табл 5-6'!E16)*1000</f>
        <v>0</v>
      </c>
      <c r="D29" s="212">
        <f>('Расчет НВВ'!H28/'табл 5-6'!$E$16)*1000</f>
        <v>0</v>
      </c>
      <c r="E29" s="248"/>
    </row>
    <row r="30" spans="1:5" ht="17.25" customHeight="1">
      <c r="A30" s="194" t="s">
        <v>271</v>
      </c>
      <c r="B30" s="197" t="s">
        <v>272</v>
      </c>
      <c r="C30" s="212">
        <f>('Расчет НВВ'!E29/'табл 5-6'!E16)*1000</f>
        <v>0</v>
      </c>
      <c r="D30" s="212">
        <f>('Расчет НВВ'!H29/'табл 5-6'!$E$16)*1000</f>
        <v>0</v>
      </c>
      <c r="E30" s="248"/>
    </row>
    <row r="31" spans="1:5" ht="16.5" customHeight="1">
      <c r="A31" s="194" t="s">
        <v>273</v>
      </c>
      <c r="B31" s="197" t="s">
        <v>274</v>
      </c>
      <c r="C31" s="212">
        <f>('Расчет НВВ'!E30/'табл 5-6'!E16)*1000</f>
        <v>0</v>
      </c>
      <c r="D31" s="212">
        <f>('Расчет НВВ'!H30/'табл 5-6'!$E$16)*1000</f>
        <v>0</v>
      </c>
      <c r="E31" s="248"/>
    </row>
    <row r="32" spans="1:5" ht="14.25">
      <c r="A32" s="194" t="s">
        <v>275</v>
      </c>
      <c r="B32" s="195" t="s">
        <v>346</v>
      </c>
      <c r="C32" s="212">
        <f>('Расчет НВВ'!E31/'табл 5-6'!E16)*1000</f>
        <v>7.085714285714285</v>
      </c>
      <c r="D32" s="212">
        <f>('Расчет НВВ'!H31/'табл 5-6'!$E$16)*1000</f>
        <v>16.20820072496842</v>
      </c>
      <c r="E32" s="248">
        <f t="shared" si="0"/>
        <v>228.7447682959253</v>
      </c>
    </row>
    <row r="33" spans="1:5" ht="14.25">
      <c r="A33" s="194" t="s">
        <v>347</v>
      </c>
      <c r="B33" s="197" t="s">
        <v>278</v>
      </c>
      <c r="C33" s="212">
        <f>('Расчет НВВ'!E32/'табл 5-6'!E16)*1000</f>
        <v>1.7714285714285714</v>
      </c>
      <c r="D33" s="212">
        <f>('Расчет НВВ'!H32/'табл 5-6'!$E$16)*1000</f>
        <v>0</v>
      </c>
      <c r="E33" s="248">
        <f t="shared" si="0"/>
        <v>0</v>
      </c>
    </row>
    <row r="34" spans="1:5" ht="71.25">
      <c r="A34" s="194" t="s">
        <v>279</v>
      </c>
      <c r="B34" s="195" t="s">
        <v>350</v>
      </c>
      <c r="C34" s="212">
        <v>0</v>
      </c>
      <c r="D34" s="212">
        <f>'Расчет НВВ'!H33/'табл 5-6'!E16</f>
        <v>0</v>
      </c>
      <c r="E34" s="248"/>
    </row>
    <row r="35" spans="1:5" ht="14.25">
      <c r="A35" s="194" t="s">
        <v>281</v>
      </c>
      <c r="B35" s="197" t="s">
        <v>282</v>
      </c>
      <c r="C35" s="156">
        <v>0</v>
      </c>
      <c r="D35" s="156">
        <f>'Расчет НВВ'!H34/'табл 5-6'!E16</f>
        <v>0</v>
      </c>
      <c r="E35" s="248"/>
    </row>
    <row r="36" spans="1:5" ht="15">
      <c r="A36" s="193" t="s">
        <v>283</v>
      </c>
      <c r="B36" s="223" t="s">
        <v>284</v>
      </c>
      <c r="C36" s="215">
        <f>C14+C34+C35</f>
        <v>82.59150375939849</v>
      </c>
      <c r="D36" s="215">
        <f>D14+D34+D35</f>
        <v>151.2765400997053</v>
      </c>
      <c r="E36" s="248">
        <f t="shared" si="0"/>
        <v>183.16235110623083</v>
      </c>
    </row>
    <row r="37" ht="12.75">
      <c r="A37" s="241"/>
    </row>
    <row r="38" ht="12.75">
      <c r="A38" s="241"/>
    </row>
    <row r="39" ht="12.75">
      <c r="A39" s="241"/>
    </row>
    <row r="40" spans="1:4" ht="12.75">
      <c r="A40" s="359"/>
      <c r="B40" s="359"/>
      <c r="C40" s="359"/>
      <c r="D40" s="359"/>
    </row>
    <row r="41" ht="12.75">
      <c r="A41" s="241"/>
    </row>
  </sheetData>
  <sheetProtection/>
  <mergeCells count="13">
    <mergeCell ref="E11:E12"/>
    <mergeCell ref="A8:D9"/>
    <mergeCell ref="A11:A12"/>
    <mergeCell ref="B11:B12"/>
    <mergeCell ref="A40:D40"/>
    <mergeCell ref="C11:C12"/>
    <mergeCell ref="D11:D12"/>
    <mergeCell ref="C1:D1"/>
    <mergeCell ref="C2:D2"/>
    <mergeCell ref="C3:D3"/>
    <mergeCell ref="C4:D4"/>
    <mergeCell ref="C5:D5"/>
    <mergeCell ref="A7:D7"/>
  </mergeCell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12">
      <selection activeCell="A129" sqref="A129:E132"/>
    </sheetView>
  </sheetViews>
  <sheetFormatPr defaultColWidth="9.00390625" defaultRowHeight="12.75"/>
  <cols>
    <col min="1" max="1" width="6.75390625" style="0" customWidth="1"/>
    <col min="2" max="2" width="45.75390625" style="0" customWidth="1"/>
    <col min="3" max="3" width="16.25390625" style="0" customWidth="1"/>
    <col min="4" max="4" width="15.875" style="0" customWidth="1"/>
    <col min="5" max="5" width="17.875" style="0" customWidth="1"/>
  </cols>
  <sheetData>
    <row r="1" spans="1:5" ht="12.75">
      <c r="A1" s="6"/>
      <c r="C1" s="354" t="s">
        <v>234</v>
      </c>
      <c r="D1" s="354"/>
      <c r="E1" s="354"/>
    </row>
    <row r="2" spans="1:5" ht="12.75">
      <c r="A2" s="6"/>
      <c r="C2" s="354" t="s">
        <v>235</v>
      </c>
      <c r="D2" s="354"/>
      <c r="E2" s="354"/>
    </row>
    <row r="3" spans="1:5" ht="12.75">
      <c r="A3" s="6"/>
      <c r="C3" s="354" t="s">
        <v>236</v>
      </c>
      <c r="D3" s="354"/>
      <c r="E3" s="354"/>
    </row>
    <row r="4" spans="1:5" ht="12.75">
      <c r="A4" s="6"/>
      <c r="C4" s="355" t="s">
        <v>285</v>
      </c>
      <c r="D4" s="355"/>
      <c r="E4" s="355"/>
    </row>
    <row r="5" spans="1:5" ht="12.75">
      <c r="A5" s="6"/>
      <c r="C5" s="325" t="s">
        <v>340</v>
      </c>
      <c r="D5" s="325"/>
      <c r="E5" s="325"/>
    </row>
    <row r="6" spans="1:5" ht="12.75">
      <c r="A6" s="6"/>
      <c r="C6" s="199"/>
      <c r="D6" s="199"/>
      <c r="E6" s="199"/>
    </row>
    <row r="7" spans="1:5" ht="33" customHeight="1">
      <c r="A7" s="351" t="s">
        <v>339</v>
      </c>
      <c r="B7" s="356"/>
      <c r="C7" s="356"/>
      <c r="D7" s="356"/>
      <c r="E7" s="356"/>
    </row>
    <row r="8" spans="1:5" ht="12.75">
      <c r="A8" s="351" t="s">
        <v>286</v>
      </c>
      <c r="B8" s="356"/>
      <c r="C8" s="356"/>
      <c r="D8" s="356"/>
      <c r="E8" s="356"/>
    </row>
    <row r="9" spans="1:5" ht="12.75">
      <c r="A9" s="351"/>
      <c r="B9" s="356"/>
      <c r="C9" s="356"/>
      <c r="D9" s="356"/>
      <c r="E9" s="356"/>
    </row>
    <row r="10" spans="1:5" ht="12.75">
      <c r="A10" s="6"/>
      <c r="E10" s="200" t="s">
        <v>287</v>
      </c>
    </row>
    <row r="11" spans="1:5" ht="63.75">
      <c r="A11" s="201" t="s">
        <v>288</v>
      </c>
      <c r="B11" s="201" t="s">
        <v>289</v>
      </c>
      <c r="C11" s="202" t="s">
        <v>290</v>
      </c>
      <c r="D11" s="202" t="s">
        <v>291</v>
      </c>
      <c r="E11" s="202" t="s">
        <v>292</v>
      </c>
    </row>
    <row r="12" spans="1:5" ht="13.5" thickBot="1">
      <c r="A12" s="59">
        <v>1</v>
      </c>
      <c r="B12" s="59">
        <v>2</v>
      </c>
      <c r="C12" s="59">
        <v>3</v>
      </c>
      <c r="D12" s="59">
        <v>4</v>
      </c>
      <c r="E12" s="59">
        <v>5</v>
      </c>
    </row>
    <row r="13" spans="1:5" ht="45.75" customHeight="1" thickBot="1">
      <c r="A13" s="203" t="s">
        <v>293</v>
      </c>
      <c r="B13" s="204" t="s">
        <v>294</v>
      </c>
      <c r="C13" s="205">
        <f>C14+C28+C34+C35+C20+C21</f>
        <v>45726.77234832</v>
      </c>
      <c r="D13" s="206">
        <f>'табл 5-6'!E11</f>
        <v>167</v>
      </c>
      <c r="E13" s="205">
        <f>E14+E28+E34+E35+E20+E21</f>
        <v>273.81300807377244</v>
      </c>
    </row>
    <row r="14" spans="1:5" ht="27.75" customHeight="1">
      <c r="A14" s="207" t="s">
        <v>240</v>
      </c>
      <c r="B14" s="208" t="s">
        <v>295</v>
      </c>
      <c r="C14" s="209">
        <f>C15+C16+C17+C18+C19</f>
        <v>15764.04564672</v>
      </c>
      <c r="D14" s="210">
        <f>D13</f>
        <v>167</v>
      </c>
      <c r="E14" s="209">
        <f>C14/D14</f>
        <v>94.39548291449101</v>
      </c>
    </row>
    <row r="15" spans="1:5" ht="12.75">
      <c r="A15" s="211" t="s">
        <v>296</v>
      </c>
      <c r="B15" s="9" t="s">
        <v>242</v>
      </c>
      <c r="C15" s="212">
        <f>'выдача техусл'!G21*'табл 5-6'!D11</f>
        <v>238.64280000000002</v>
      </c>
      <c r="D15" s="212"/>
      <c r="E15" s="212"/>
    </row>
    <row r="16" spans="1:5" ht="12.75">
      <c r="A16" s="211" t="s">
        <v>297</v>
      </c>
      <c r="B16" s="9" t="s">
        <v>298</v>
      </c>
      <c r="C16" s="212">
        <f>('выдача техусл'!G14+'выдача техусл'!G15+'выдача техусл'!G16+'выдача техусл'!G13)*'табл 5-6'!D11</f>
        <v>7538.37</v>
      </c>
      <c r="D16" s="212"/>
      <c r="E16" s="212"/>
    </row>
    <row r="17" spans="1:5" ht="12.75">
      <c r="A17" s="211" t="s">
        <v>299</v>
      </c>
      <c r="B17" s="9" t="s">
        <v>300</v>
      </c>
      <c r="C17" s="212">
        <f>('выдача техусл'!G18+'выдача техусл'!G19+'выдача техусл'!G20+'выдача техусл'!G17)*'табл 5-6'!D11</f>
        <v>2276.58774</v>
      </c>
      <c r="D17" s="212"/>
      <c r="E17" s="212"/>
    </row>
    <row r="18" spans="1:5" ht="12.75">
      <c r="A18" s="211" t="s">
        <v>301</v>
      </c>
      <c r="B18" s="9" t="s">
        <v>302</v>
      </c>
      <c r="C18" s="212">
        <f>'выдача техусл'!G22*'табл 5-6'!D11</f>
        <v>4021.4402160000004</v>
      </c>
      <c r="D18" s="156"/>
      <c r="E18" s="156"/>
    </row>
    <row r="19" spans="1:5" ht="12.75">
      <c r="A19" s="211" t="s">
        <v>303</v>
      </c>
      <c r="B19" s="9" t="s">
        <v>304</v>
      </c>
      <c r="C19" s="212">
        <f>'выдача техусл'!G23*'табл 5-6'!D11</f>
        <v>1689.00489072</v>
      </c>
      <c r="D19" s="156"/>
      <c r="E19" s="156"/>
    </row>
    <row r="20" spans="1:5" ht="30" customHeight="1" hidden="1">
      <c r="A20" s="213" t="s">
        <v>279</v>
      </c>
      <c r="B20" s="214" t="s">
        <v>305</v>
      </c>
      <c r="C20" s="215">
        <v>0</v>
      </c>
      <c r="D20" s="216">
        <v>200</v>
      </c>
      <c r="E20" s="215">
        <f>C20/D20</f>
        <v>0</v>
      </c>
    </row>
    <row r="21" spans="1:5" ht="12.75" hidden="1">
      <c r="A21" s="217" t="s">
        <v>281</v>
      </c>
      <c r="B21" s="360" t="s">
        <v>306</v>
      </c>
      <c r="C21" s="361">
        <f>C22+C24+C25+C26+C27</f>
        <v>0</v>
      </c>
      <c r="D21" s="363">
        <v>200</v>
      </c>
      <c r="E21" s="361">
        <f>C21/D21</f>
        <v>0</v>
      </c>
    </row>
    <row r="22" spans="1:5" ht="12.75" hidden="1">
      <c r="A22" s="220"/>
      <c r="B22" s="352"/>
      <c r="C22" s="362"/>
      <c r="D22" s="364"/>
      <c r="E22" s="365"/>
    </row>
    <row r="23" spans="1:5" ht="12.75" hidden="1">
      <c r="A23" s="211" t="s">
        <v>307</v>
      </c>
      <c r="B23" s="9" t="s">
        <v>308</v>
      </c>
      <c r="C23" s="222"/>
      <c r="D23" s="222"/>
      <c r="E23" s="222"/>
    </row>
    <row r="24" spans="1:5" ht="12.75" hidden="1">
      <c r="A24" s="211" t="s">
        <v>309</v>
      </c>
      <c r="B24" s="9" t="s">
        <v>310</v>
      </c>
      <c r="C24" s="156">
        <v>0</v>
      </c>
      <c r="D24" s="156"/>
      <c r="E24" s="156"/>
    </row>
    <row r="25" spans="1:5" ht="12.75" hidden="1">
      <c r="A25" s="211" t="s">
        <v>311</v>
      </c>
      <c r="B25" s="9" t="s">
        <v>312</v>
      </c>
      <c r="C25" s="156">
        <v>0</v>
      </c>
      <c r="D25" s="156"/>
      <c r="E25" s="156"/>
    </row>
    <row r="26" spans="1:5" ht="51" hidden="1">
      <c r="A26" s="211" t="s">
        <v>313</v>
      </c>
      <c r="B26" s="10" t="s">
        <v>314</v>
      </c>
      <c r="C26" s="156">
        <v>0</v>
      </c>
      <c r="D26" s="156"/>
      <c r="E26" s="156"/>
    </row>
    <row r="27" spans="1:5" ht="25.5" hidden="1">
      <c r="A27" s="211" t="s">
        <v>315</v>
      </c>
      <c r="B27" s="10" t="s">
        <v>316</v>
      </c>
      <c r="C27" s="156">
        <v>0</v>
      </c>
      <c r="D27" s="156"/>
      <c r="E27" s="156"/>
    </row>
    <row r="28" spans="1:5" ht="25.5">
      <c r="A28" s="213" t="s">
        <v>279</v>
      </c>
      <c r="B28" s="223" t="s">
        <v>317</v>
      </c>
      <c r="C28" s="215">
        <f>C29+C30+C31+C32+C33</f>
        <v>13213.411814399999</v>
      </c>
      <c r="D28" s="210">
        <f>D13</f>
        <v>167</v>
      </c>
      <c r="E28" s="215">
        <f>C28/D28</f>
        <v>79.12222643353293</v>
      </c>
    </row>
    <row r="29" spans="1:5" ht="12.75">
      <c r="A29" s="211" t="s">
        <v>318</v>
      </c>
      <c r="B29" s="9" t="s">
        <v>242</v>
      </c>
      <c r="C29" s="212">
        <f>'проверка выполнения техусловий'!G23*'табл 5-6'!D11</f>
        <v>238.64280000000002</v>
      </c>
      <c r="D29" s="212"/>
      <c r="E29" s="212"/>
    </row>
    <row r="30" spans="1:5" ht="12.75">
      <c r="A30" s="211" t="s">
        <v>319</v>
      </c>
      <c r="B30" s="9" t="s">
        <v>298</v>
      </c>
      <c r="C30" s="212">
        <f>('проверка выполнения техусловий'!G15+'проверка выполнения техусловий'!G16+'проверка выполнения техусловий'!G17+'проверка выполнения техусловий'!G13+'проверка выполнения техусловий'!G14)*'табл 5-6'!D11</f>
        <v>6289</v>
      </c>
      <c r="D30" s="212"/>
      <c r="E30" s="212"/>
    </row>
    <row r="31" spans="1:5" ht="12.75">
      <c r="A31" s="211" t="s">
        <v>320</v>
      </c>
      <c r="B31" s="9" t="s">
        <v>300</v>
      </c>
      <c r="C31" s="212">
        <f>('проверка выполнения техусловий'!G20+'проверка выполнения техусловий'!G21+'проверка выполнения техусловий'!G22+'проверка выполнения техусловий'!G18+'проверка выполнения техусловий'!G19)*'табл 5-6'!D11</f>
        <v>1899.2779999999998</v>
      </c>
      <c r="D31" s="212"/>
      <c r="E31" s="212"/>
    </row>
    <row r="32" spans="1:5" ht="12.75">
      <c r="A32" s="211" t="s">
        <v>321</v>
      </c>
      <c r="B32" s="9" t="s">
        <v>302</v>
      </c>
      <c r="C32" s="212">
        <f>'проверка выполнения техусловий'!G24*'табл 5-6'!D11</f>
        <v>3370.76832</v>
      </c>
      <c r="D32" s="156"/>
      <c r="E32" s="156"/>
    </row>
    <row r="33" spans="1:5" ht="12.75">
      <c r="A33" s="211" t="s">
        <v>322</v>
      </c>
      <c r="B33" s="9" t="s">
        <v>304</v>
      </c>
      <c r="C33" s="212">
        <f>'проверка выполнения техусловий'!G25*'табл 5-6'!D11</f>
        <v>1415.7226944</v>
      </c>
      <c r="D33" s="156"/>
      <c r="E33" s="156"/>
    </row>
    <row r="34" spans="1:5" ht="40.5" customHeight="1">
      <c r="A34" s="213" t="s">
        <v>281</v>
      </c>
      <c r="B34" s="223" t="s">
        <v>323</v>
      </c>
      <c r="C34" s="215">
        <v>0</v>
      </c>
      <c r="D34" s="216">
        <v>0</v>
      </c>
      <c r="E34" s="215">
        <v>0</v>
      </c>
    </row>
    <row r="35" spans="1:5" ht="39.75" customHeight="1">
      <c r="A35" s="217" t="s">
        <v>283</v>
      </c>
      <c r="B35" s="218" t="s">
        <v>324</v>
      </c>
      <c r="C35" s="219">
        <f>C36+C37+C38+C39+C40</f>
        <v>16749.314887200002</v>
      </c>
      <c r="D35" s="210">
        <f>D13</f>
        <v>167</v>
      </c>
      <c r="E35" s="219">
        <f>C35/D35</f>
        <v>100.29529872574851</v>
      </c>
    </row>
    <row r="36" spans="1:5" ht="12.75">
      <c r="A36" s="211" t="s">
        <v>325</v>
      </c>
      <c r="B36" s="9" t="s">
        <v>242</v>
      </c>
      <c r="C36" s="212">
        <f>'фактич.действия'!G27*'табл 5-6'!D11</f>
        <v>790.5042750000001</v>
      </c>
      <c r="D36" s="212"/>
      <c r="E36" s="212"/>
    </row>
    <row r="37" spans="1:5" ht="12.75">
      <c r="A37" s="211" t="s">
        <v>326</v>
      </c>
      <c r="B37" s="9" t="s">
        <v>298</v>
      </c>
      <c r="C37" s="212">
        <f>('фактич.действия'!G14+'фактич.действия'!G15+'фактич.действия'!G16+'фактич.действия'!G17+'фактич.действия'!G13+'фактич.действия'!G18+'фактич.действия'!G19)*'табл 5-6'!D11</f>
        <v>7597.125000000001</v>
      </c>
      <c r="D37" s="212"/>
      <c r="E37" s="212"/>
    </row>
    <row r="38" spans="1:5" ht="12.75">
      <c r="A38" s="211" t="s">
        <v>327</v>
      </c>
      <c r="B38" s="9" t="s">
        <v>300</v>
      </c>
      <c r="C38" s="212">
        <f>('фактич.действия'!G21+'фактич.действия'!G22+'фактич.действия'!G23+'фактич.действия'!G24+'фактич.действия'!G20+'фактич.действия'!G25+'фактич.действия'!G26)*'табл 5-6'!D11</f>
        <v>2294.33175</v>
      </c>
      <c r="D38" s="212"/>
      <c r="E38" s="212"/>
    </row>
    <row r="39" spans="1:5" ht="12.75">
      <c r="A39" s="211" t="s">
        <v>328</v>
      </c>
      <c r="B39" s="9" t="s">
        <v>302</v>
      </c>
      <c r="C39" s="212">
        <f>'фактич.действия'!G28*'табл 5-6'!D11</f>
        <v>4272.78441</v>
      </c>
      <c r="D39" s="224"/>
      <c r="E39" s="224"/>
    </row>
    <row r="40" spans="1:5" ht="13.5" thickBot="1">
      <c r="A40" s="225" t="s">
        <v>329</v>
      </c>
      <c r="B40" s="60" t="s">
        <v>304</v>
      </c>
      <c r="C40" s="212">
        <f>'фактич.действия'!G29*'табл 5-6'!D11</f>
        <v>1794.5694522</v>
      </c>
      <c r="D40" s="226"/>
      <c r="E40" s="226"/>
    </row>
    <row r="41" spans="1:5" ht="43.5" customHeight="1" thickBot="1">
      <c r="A41" s="203" t="s">
        <v>330</v>
      </c>
      <c r="B41" s="204" t="s">
        <v>331</v>
      </c>
      <c r="C41" s="205">
        <f>C42+C56+C62+C63+C48+C49</f>
        <v>9145.354469664</v>
      </c>
      <c r="D41" s="206">
        <f>'табл 5-6'!E12</f>
        <v>151</v>
      </c>
      <c r="E41" s="205">
        <f>E42+E56+E62+E63+E48+E49</f>
        <v>60.565261388503316</v>
      </c>
    </row>
    <row r="42" spans="1:5" ht="30" customHeight="1">
      <c r="A42" s="207" t="s">
        <v>240</v>
      </c>
      <c r="B42" s="208" t="s">
        <v>295</v>
      </c>
      <c r="C42" s="209">
        <f>C43+C44+C45+C46+C47</f>
        <v>3152.809129344</v>
      </c>
      <c r="D42" s="210">
        <f>D41</f>
        <v>151</v>
      </c>
      <c r="E42" s="209">
        <f>C42/D42</f>
        <v>20.879530657907285</v>
      </c>
    </row>
    <row r="43" spans="1:5" ht="12.75">
      <c r="A43" s="211" t="s">
        <v>296</v>
      </c>
      <c r="B43" s="9" t="s">
        <v>242</v>
      </c>
      <c r="C43" s="212">
        <f>'выдача техусл'!G21*'табл 5-6'!D12</f>
        <v>47.72856</v>
      </c>
      <c r="D43" s="156"/>
      <c r="E43" s="212"/>
    </row>
    <row r="44" spans="1:5" ht="12.75">
      <c r="A44" s="211" t="s">
        <v>297</v>
      </c>
      <c r="B44" s="9" t="s">
        <v>298</v>
      </c>
      <c r="C44" s="212">
        <f>('выдача техусл'!G14+'выдача техусл'!G15+'выдача техусл'!G16+'выдача техусл'!G13)*'табл 5-6'!D12</f>
        <v>1507.674</v>
      </c>
      <c r="D44" s="156"/>
      <c r="E44" s="212"/>
    </row>
    <row r="45" spans="1:5" ht="12.75">
      <c r="A45" s="211" t="s">
        <v>299</v>
      </c>
      <c r="B45" s="9" t="s">
        <v>300</v>
      </c>
      <c r="C45" s="212">
        <f>('выдача техусл'!G18+'выдача техусл'!G19+'выдача техусл'!G20+'выдача техусл'!G17)*'табл 5-6'!D12</f>
        <v>455.317548</v>
      </c>
      <c r="D45" s="156"/>
      <c r="E45" s="212"/>
    </row>
    <row r="46" spans="1:5" ht="12.75">
      <c r="A46" s="211" t="s">
        <v>301</v>
      </c>
      <c r="B46" s="9" t="s">
        <v>302</v>
      </c>
      <c r="C46" s="212">
        <f>'выдача техусл'!G22*'табл 5-6'!D12</f>
        <v>804.2880432000001</v>
      </c>
      <c r="D46" s="156"/>
      <c r="E46" s="156"/>
    </row>
    <row r="47" spans="1:5" ht="12.75">
      <c r="A47" s="211" t="s">
        <v>303</v>
      </c>
      <c r="B47" s="9" t="s">
        <v>304</v>
      </c>
      <c r="C47" s="212">
        <f>'выдача техусл'!G23*'табл 5-6'!D12</f>
        <v>337.800978144</v>
      </c>
      <c r="D47" s="156"/>
      <c r="E47" s="156"/>
    </row>
    <row r="48" spans="1:5" ht="25.5" hidden="1">
      <c r="A48" s="213" t="s">
        <v>279</v>
      </c>
      <c r="B48" s="214" t="s">
        <v>305</v>
      </c>
      <c r="C48" s="215">
        <v>0</v>
      </c>
      <c r="D48" s="216">
        <v>202</v>
      </c>
      <c r="E48" s="215">
        <f>C48/D48</f>
        <v>0</v>
      </c>
    </row>
    <row r="49" spans="1:5" ht="12.75" hidden="1">
      <c r="A49" s="217" t="s">
        <v>281</v>
      </c>
      <c r="B49" s="360" t="s">
        <v>306</v>
      </c>
      <c r="C49" s="361">
        <f>C50+C52+C53+C54+C55</f>
        <v>0</v>
      </c>
      <c r="D49" s="363">
        <v>202</v>
      </c>
      <c r="E49" s="361">
        <f>C49/D49</f>
        <v>0</v>
      </c>
    </row>
    <row r="50" spans="1:5" ht="12.75" hidden="1">
      <c r="A50" s="220"/>
      <c r="B50" s="352"/>
      <c r="C50" s="362"/>
      <c r="D50" s="364"/>
      <c r="E50" s="365"/>
    </row>
    <row r="51" spans="1:5" ht="12.75" hidden="1">
      <c r="A51" s="211" t="s">
        <v>307</v>
      </c>
      <c r="B51" s="9" t="s">
        <v>308</v>
      </c>
      <c r="C51" s="222"/>
      <c r="D51" s="173"/>
      <c r="E51" s="222"/>
    </row>
    <row r="52" spans="1:5" ht="12.75" hidden="1">
      <c r="A52" s="211" t="s">
        <v>309</v>
      </c>
      <c r="B52" s="9" t="s">
        <v>310</v>
      </c>
      <c r="C52" s="156">
        <v>0</v>
      </c>
      <c r="D52" s="156"/>
      <c r="E52" s="156"/>
    </row>
    <row r="53" spans="1:5" ht="12.75" hidden="1">
      <c r="A53" s="211" t="s">
        <v>311</v>
      </c>
      <c r="B53" s="9" t="s">
        <v>312</v>
      </c>
      <c r="C53" s="156">
        <v>0</v>
      </c>
      <c r="D53" s="156"/>
      <c r="E53" s="156"/>
    </row>
    <row r="54" spans="1:5" ht="51" hidden="1">
      <c r="A54" s="211" t="s">
        <v>313</v>
      </c>
      <c r="B54" s="10" t="s">
        <v>314</v>
      </c>
      <c r="C54" s="156">
        <v>0</v>
      </c>
      <c r="D54" s="156"/>
      <c r="E54" s="156"/>
    </row>
    <row r="55" spans="1:5" ht="25.5" hidden="1">
      <c r="A55" s="211" t="s">
        <v>315</v>
      </c>
      <c r="B55" s="10" t="s">
        <v>316</v>
      </c>
      <c r="C55" s="156">
        <v>0</v>
      </c>
      <c r="D55" s="156"/>
      <c r="E55" s="156"/>
    </row>
    <row r="56" spans="1:5" ht="29.25" customHeight="1">
      <c r="A56" s="213" t="s">
        <v>279</v>
      </c>
      <c r="B56" s="223" t="s">
        <v>317</v>
      </c>
      <c r="C56" s="215">
        <f>C57+C58+C59+C60+C61</f>
        <v>2642.68236288</v>
      </c>
      <c r="D56" s="216">
        <f>D41</f>
        <v>151</v>
      </c>
      <c r="E56" s="215">
        <f>C56/D56</f>
        <v>17.50120770119205</v>
      </c>
    </row>
    <row r="57" spans="1:5" ht="12.75">
      <c r="A57" s="211" t="s">
        <v>318</v>
      </c>
      <c r="B57" s="9" t="s">
        <v>242</v>
      </c>
      <c r="C57" s="212">
        <f>'проверка выполнения техусловий'!G23*'табл 5-6'!D12</f>
        <v>47.72856</v>
      </c>
      <c r="D57" s="156"/>
      <c r="E57" s="212"/>
    </row>
    <row r="58" spans="1:5" ht="12.75">
      <c r="A58" s="211" t="s">
        <v>319</v>
      </c>
      <c r="B58" s="9" t="s">
        <v>298</v>
      </c>
      <c r="C58" s="212">
        <f>('проверка выполнения техусловий'!G15+'проверка выполнения техусловий'!G16+'проверка выполнения техусловий'!G17+'проверка выполнения техусловий'!G13+'проверка выполнения техусловий'!G14)*'табл 5-6'!D12</f>
        <v>1257.8</v>
      </c>
      <c r="D58" s="156"/>
      <c r="E58" s="212"/>
    </row>
    <row r="59" spans="1:5" ht="12.75">
      <c r="A59" s="211" t="s">
        <v>320</v>
      </c>
      <c r="B59" s="9" t="s">
        <v>300</v>
      </c>
      <c r="C59" s="212">
        <f>('проверка выполнения техусловий'!G20+'проверка выполнения техусловий'!G21+'проверка выполнения техусловий'!G22+'проверка выполнения техусловий'!G18+'проверка выполнения техусловий'!G19)*'табл 5-6'!D12</f>
        <v>379.8556</v>
      </c>
      <c r="D59" s="156"/>
      <c r="E59" s="212"/>
    </row>
    <row r="60" spans="1:5" ht="12.75">
      <c r="A60" s="211" t="s">
        <v>321</v>
      </c>
      <c r="B60" s="9" t="s">
        <v>302</v>
      </c>
      <c r="C60" s="212">
        <f>'проверка выполнения техусловий'!G24*'табл 5-6'!D12</f>
        <v>674.153664</v>
      </c>
      <c r="D60" s="156"/>
      <c r="E60" s="156"/>
    </row>
    <row r="61" spans="1:5" ht="12.75">
      <c r="A61" s="211" t="s">
        <v>322</v>
      </c>
      <c r="B61" s="9" t="s">
        <v>304</v>
      </c>
      <c r="C61" s="212">
        <f>'проверка выполнения техусловий'!G25*'табл 5-6'!D12</f>
        <v>283.14453887999997</v>
      </c>
      <c r="D61" s="156"/>
      <c r="E61" s="156"/>
    </row>
    <row r="62" spans="1:5" ht="42" customHeight="1">
      <c r="A62" s="213" t="s">
        <v>281</v>
      </c>
      <c r="B62" s="223" t="s">
        <v>323</v>
      </c>
      <c r="C62" s="215">
        <v>0</v>
      </c>
      <c r="D62" s="216">
        <v>0</v>
      </c>
      <c r="E62" s="215">
        <v>0</v>
      </c>
    </row>
    <row r="63" spans="1:5" ht="42" customHeight="1">
      <c r="A63" s="217" t="s">
        <v>283</v>
      </c>
      <c r="B63" s="223" t="s">
        <v>324</v>
      </c>
      <c r="C63" s="215">
        <f>C64+C65+C66+C67+C68</f>
        <v>3349.86297744</v>
      </c>
      <c r="D63" s="216">
        <f>D41</f>
        <v>151</v>
      </c>
      <c r="E63" s="215">
        <f>C63/D63</f>
        <v>22.184523029403973</v>
      </c>
    </row>
    <row r="64" spans="1:5" ht="12.75">
      <c r="A64" s="211" t="s">
        <v>325</v>
      </c>
      <c r="B64" s="50" t="s">
        <v>242</v>
      </c>
      <c r="C64" s="212">
        <f>'фактич.действия'!G27*'табл 5-6'!D12</f>
        <v>158.10085500000002</v>
      </c>
      <c r="D64" s="227"/>
      <c r="E64" s="221"/>
    </row>
    <row r="65" spans="1:5" ht="12.75">
      <c r="A65" s="211" t="s">
        <v>326</v>
      </c>
      <c r="B65" s="9" t="s">
        <v>298</v>
      </c>
      <c r="C65" s="212">
        <f>('фактич.действия'!G14+'фактич.действия'!G15+'фактич.действия'!G16+'фактич.действия'!G17+'фактич.действия'!G13+'фактич.действия'!G18+'фактич.действия'!G19)*'табл 5-6'!D12</f>
        <v>1519.4250000000002</v>
      </c>
      <c r="D65" s="228"/>
      <c r="E65" s="212"/>
    </row>
    <row r="66" spans="1:5" ht="12.75">
      <c r="A66" s="211" t="s">
        <v>327</v>
      </c>
      <c r="B66" s="9" t="s">
        <v>300</v>
      </c>
      <c r="C66" s="212">
        <f>('фактич.действия'!G21+'фактич.действия'!G22+'фактич.действия'!G23+'фактич.действия'!G24+'фактич.действия'!G20+'фактич.действия'!G25+'фактич.действия'!G26)*'табл 5-6'!D12</f>
        <v>458.86634999999995</v>
      </c>
      <c r="D66" s="228"/>
      <c r="E66" s="212"/>
    </row>
    <row r="67" spans="1:5" ht="12.75">
      <c r="A67" s="211" t="s">
        <v>328</v>
      </c>
      <c r="B67" s="9" t="s">
        <v>302</v>
      </c>
      <c r="C67" s="212">
        <f>'фактич.действия'!G28*'табл 5-6'!D12</f>
        <v>854.5568820000001</v>
      </c>
      <c r="D67" s="227"/>
      <c r="E67" s="224"/>
    </row>
    <row r="68" spans="1:5" ht="13.5" thickBot="1">
      <c r="A68" s="225" t="s">
        <v>329</v>
      </c>
      <c r="B68" s="229" t="s">
        <v>304</v>
      </c>
      <c r="C68" s="212">
        <f>'фактич.действия'!G29*'табл 5-6'!D12</f>
        <v>358.91389044</v>
      </c>
      <c r="D68" s="230"/>
      <c r="E68" s="231"/>
    </row>
    <row r="69" spans="1:5" ht="43.5" customHeight="1" thickBot="1">
      <c r="A69" s="203" t="s">
        <v>332</v>
      </c>
      <c r="B69" s="204" t="s">
        <v>333</v>
      </c>
      <c r="C69" s="205">
        <f>C70+C84+C90+C91+C76+C77</f>
        <v>36581.417878656</v>
      </c>
      <c r="D69" s="206">
        <f>'табл 5-6'!E13</f>
        <v>135</v>
      </c>
      <c r="E69" s="205">
        <f>E70+E84+E90+E91+E76+E77</f>
        <v>270.97346576782223</v>
      </c>
    </row>
    <row r="70" spans="1:5" ht="27" customHeight="1">
      <c r="A70" s="207" t="s">
        <v>240</v>
      </c>
      <c r="B70" s="208" t="s">
        <v>295</v>
      </c>
      <c r="C70" s="209">
        <f>C71+C72+C73+C74+C75</f>
        <v>12611.236517376</v>
      </c>
      <c r="D70" s="232">
        <f>D69</f>
        <v>135</v>
      </c>
      <c r="E70" s="209">
        <f>C70/D70</f>
        <v>93.41656679537779</v>
      </c>
    </row>
    <row r="71" spans="1:5" ht="12.75">
      <c r="A71" s="211" t="s">
        <v>296</v>
      </c>
      <c r="B71" s="9" t="s">
        <v>242</v>
      </c>
      <c r="C71" s="212">
        <f>'выдача техусл'!G21*'табл 5-6'!D13</f>
        <v>190.91424</v>
      </c>
      <c r="D71" s="221"/>
      <c r="E71" s="212"/>
    </row>
    <row r="72" spans="1:5" ht="12.75">
      <c r="A72" s="211" t="s">
        <v>297</v>
      </c>
      <c r="B72" s="9" t="s">
        <v>298</v>
      </c>
      <c r="C72" s="212">
        <f>('выдача техусл'!G14+'выдача техусл'!G15+'выдача техусл'!G16+'выдача техусл'!G13)*'табл 5-6'!D13</f>
        <v>6030.696</v>
      </c>
      <c r="D72" s="212"/>
      <c r="E72" s="212"/>
    </row>
    <row r="73" spans="1:5" ht="12.75">
      <c r="A73" s="211" t="s">
        <v>299</v>
      </c>
      <c r="B73" s="9" t="s">
        <v>300</v>
      </c>
      <c r="C73" s="212">
        <f>('выдача техусл'!G18+'выдача техусл'!G19+'выдача техусл'!G20+'выдача техусл'!G17)*'табл 5-6'!D13</f>
        <v>1821.270192</v>
      </c>
      <c r="D73" s="212"/>
      <c r="E73" s="212"/>
    </row>
    <row r="74" spans="1:5" ht="12.75">
      <c r="A74" s="211" t="s">
        <v>301</v>
      </c>
      <c r="B74" s="9" t="s">
        <v>302</v>
      </c>
      <c r="C74" s="212">
        <f>'выдача техусл'!G22*'табл 5-6'!D13</f>
        <v>3217.1521728000002</v>
      </c>
      <c r="D74" s="156"/>
      <c r="E74" s="156"/>
    </row>
    <row r="75" spans="1:5" ht="12.75">
      <c r="A75" s="211" t="s">
        <v>303</v>
      </c>
      <c r="B75" s="9" t="s">
        <v>304</v>
      </c>
      <c r="C75" s="212">
        <f>'выдача техусл'!G23*'табл 5-6'!D13</f>
        <v>1351.203912576</v>
      </c>
      <c r="D75" s="156"/>
      <c r="E75" s="156"/>
    </row>
    <row r="76" spans="1:5" ht="25.5" hidden="1">
      <c r="A76" s="213" t="s">
        <v>279</v>
      </c>
      <c r="B76" s="214" t="s">
        <v>305</v>
      </c>
      <c r="C76" s="215">
        <v>0</v>
      </c>
      <c r="D76" s="216">
        <v>32</v>
      </c>
      <c r="E76" s="215">
        <f>C76/D76</f>
        <v>0</v>
      </c>
    </row>
    <row r="77" spans="1:5" ht="12.75" hidden="1">
      <c r="A77" s="217" t="s">
        <v>281</v>
      </c>
      <c r="B77" s="360" t="s">
        <v>306</v>
      </c>
      <c r="C77" s="361">
        <f>C78+C80+C81+C82+C83</f>
        <v>0</v>
      </c>
      <c r="D77" s="363">
        <v>32</v>
      </c>
      <c r="E77" s="361">
        <f>C77/D77</f>
        <v>0</v>
      </c>
    </row>
    <row r="78" spans="1:5" ht="12.75" hidden="1">
      <c r="A78" s="220"/>
      <c r="B78" s="352"/>
      <c r="C78" s="362"/>
      <c r="D78" s="364"/>
      <c r="E78" s="365"/>
    </row>
    <row r="79" spans="1:5" ht="12.75" hidden="1">
      <c r="A79" s="211" t="s">
        <v>307</v>
      </c>
      <c r="B79" s="9" t="s">
        <v>308</v>
      </c>
      <c r="C79" s="222"/>
      <c r="D79" s="222"/>
      <c r="E79" s="222"/>
    </row>
    <row r="80" spans="1:5" ht="12.75" hidden="1">
      <c r="A80" s="211" t="s">
        <v>309</v>
      </c>
      <c r="B80" s="9" t="s">
        <v>310</v>
      </c>
      <c r="C80" s="156">
        <v>0</v>
      </c>
      <c r="D80" s="156"/>
      <c r="E80" s="156"/>
    </row>
    <row r="81" spans="1:5" ht="12.75" hidden="1">
      <c r="A81" s="211" t="s">
        <v>311</v>
      </c>
      <c r="B81" s="9" t="s">
        <v>312</v>
      </c>
      <c r="C81" s="156">
        <v>0</v>
      </c>
      <c r="D81" s="156"/>
      <c r="E81" s="156"/>
    </row>
    <row r="82" spans="1:5" ht="51" hidden="1">
      <c r="A82" s="211" t="s">
        <v>313</v>
      </c>
      <c r="B82" s="10" t="s">
        <v>314</v>
      </c>
      <c r="C82" s="156">
        <v>0</v>
      </c>
      <c r="D82" s="156"/>
      <c r="E82" s="156"/>
    </row>
    <row r="83" spans="1:5" ht="25.5" hidden="1">
      <c r="A83" s="211" t="s">
        <v>315</v>
      </c>
      <c r="B83" s="10" t="s">
        <v>316</v>
      </c>
      <c r="C83" s="156">
        <v>0</v>
      </c>
      <c r="D83" s="226"/>
      <c r="E83" s="156"/>
    </row>
    <row r="84" spans="1:5" ht="25.5">
      <c r="A84" s="213" t="s">
        <v>279</v>
      </c>
      <c r="B84" s="223" t="s">
        <v>317</v>
      </c>
      <c r="C84" s="215">
        <f>C85+C86+C87+C88+C89</f>
        <v>10570.72945152</v>
      </c>
      <c r="D84" s="233">
        <f>D69</f>
        <v>135</v>
      </c>
      <c r="E84" s="215">
        <f>C84/D84</f>
        <v>78.30169964088888</v>
      </c>
    </row>
    <row r="85" spans="1:5" ht="12.75">
      <c r="A85" s="211" t="s">
        <v>318</v>
      </c>
      <c r="B85" s="9" t="s">
        <v>242</v>
      </c>
      <c r="C85" s="212">
        <f>'проверка выполнения техусловий'!G23*'табл 5-6'!D13</f>
        <v>190.91424</v>
      </c>
      <c r="D85" s="221"/>
      <c r="E85" s="212"/>
    </row>
    <row r="86" spans="1:5" ht="12.75">
      <c r="A86" s="211" t="s">
        <v>319</v>
      </c>
      <c r="B86" s="9" t="s">
        <v>298</v>
      </c>
      <c r="C86" s="212">
        <f>('проверка выполнения техусловий'!G15+'проверка выполнения техусловий'!G16+'проверка выполнения техусловий'!G17+'проверка выполнения техусловий'!G13+'проверка выполнения техусловий'!G14)*'табл 5-6'!D13</f>
        <v>5031.2</v>
      </c>
      <c r="D86" s="212"/>
      <c r="E86" s="212"/>
    </row>
    <row r="87" spans="1:5" ht="12.75">
      <c r="A87" s="211" t="s">
        <v>320</v>
      </c>
      <c r="B87" s="9" t="s">
        <v>300</v>
      </c>
      <c r="C87" s="212">
        <f>('проверка выполнения техусловий'!G20+'проверка выполнения техусловий'!G21+'проверка выполнения техусловий'!G22+'проверка выполнения техусловий'!G18+'проверка выполнения техусловий'!G19)*'табл 5-6'!D13</f>
        <v>1519.4224</v>
      </c>
      <c r="D87" s="212"/>
      <c r="E87" s="212"/>
    </row>
    <row r="88" spans="1:5" ht="12.75">
      <c r="A88" s="211" t="s">
        <v>321</v>
      </c>
      <c r="B88" s="9" t="s">
        <v>302</v>
      </c>
      <c r="C88" s="212">
        <f>'проверка выполнения техусловий'!G24*'табл 5-6'!D13</f>
        <v>2696.614656</v>
      </c>
      <c r="D88" s="156"/>
      <c r="E88" s="156"/>
    </row>
    <row r="89" spans="1:5" ht="12.75">
      <c r="A89" s="211" t="s">
        <v>322</v>
      </c>
      <c r="B89" s="9" t="s">
        <v>304</v>
      </c>
      <c r="C89" s="212">
        <f>'проверка выполнения техусловий'!G25*'табл 5-6'!D13</f>
        <v>1132.5781555199999</v>
      </c>
      <c r="D89" s="156"/>
      <c r="E89" s="156"/>
    </row>
    <row r="90" spans="1:5" ht="41.25" customHeight="1">
      <c r="A90" s="213" t="s">
        <v>281</v>
      </c>
      <c r="B90" s="223" t="s">
        <v>323</v>
      </c>
      <c r="C90" s="215">
        <v>0</v>
      </c>
      <c r="D90" s="233">
        <v>0</v>
      </c>
      <c r="E90" s="215">
        <v>0</v>
      </c>
    </row>
    <row r="91" spans="1:5" ht="42.75" customHeight="1">
      <c r="A91" s="217" t="s">
        <v>283</v>
      </c>
      <c r="B91" s="223" t="s">
        <v>324</v>
      </c>
      <c r="C91" s="215">
        <f>C92+C93+C94+C95+C96</f>
        <v>13399.45190976</v>
      </c>
      <c r="D91" s="233">
        <f>D69</f>
        <v>135</v>
      </c>
      <c r="E91" s="215">
        <f>C91/D91</f>
        <v>99.25519933155556</v>
      </c>
    </row>
    <row r="92" spans="1:5" ht="12.75">
      <c r="A92" s="211" t="s">
        <v>325</v>
      </c>
      <c r="B92" s="50" t="s">
        <v>242</v>
      </c>
      <c r="C92" s="212">
        <f>'фактич.действия'!G27*'табл 5-6'!D13</f>
        <v>632.4034200000001</v>
      </c>
      <c r="D92" s="221"/>
      <c r="E92" s="221"/>
    </row>
    <row r="93" spans="1:5" ht="12.75">
      <c r="A93" s="211" t="s">
        <v>326</v>
      </c>
      <c r="B93" s="9" t="s">
        <v>298</v>
      </c>
      <c r="C93" s="212">
        <f>('фактич.действия'!G14+'фактич.действия'!G15+'фактич.действия'!G16+'фактич.действия'!G17+'фактич.действия'!G13+'фактич.действия'!G18+'фактич.действия'!G19)*'табл 5-6'!D13</f>
        <v>6077.700000000001</v>
      </c>
      <c r="D93" s="212"/>
      <c r="E93" s="212"/>
    </row>
    <row r="94" spans="1:5" ht="12.75">
      <c r="A94" s="211" t="s">
        <v>327</v>
      </c>
      <c r="B94" s="9" t="s">
        <v>300</v>
      </c>
      <c r="C94" s="212">
        <f>('фактич.действия'!G21+'фактич.действия'!G22+'фактич.действия'!G23+'фактич.действия'!G24+'фактич.действия'!G20+'фактич.действия'!G25+'фактич.действия'!G26)*'табл 5-6'!D13</f>
        <v>1835.4653999999998</v>
      </c>
      <c r="D94" s="212"/>
      <c r="E94" s="212"/>
    </row>
    <row r="95" spans="1:5" ht="12.75">
      <c r="A95" s="211" t="s">
        <v>328</v>
      </c>
      <c r="B95" s="9" t="s">
        <v>302</v>
      </c>
      <c r="C95" s="212">
        <f>'фактич.действия'!G28*'табл 5-6'!D13</f>
        <v>3418.2275280000003</v>
      </c>
      <c r="D95" s="224"/>
      <c r="E95" s="224"/>
    </row>
    <row r="96" spans="1:5" ht="13.5" thickBot="1">
      <c r="A96" s="225" t="s">
        <v>329</v>
      </c>
      <c r="B96" s="229" t="s">
        <v>304</v>
      </c>
      <c r="C96" s="212">
        <f>'фактич.действия'!G29*'табл 5-6'!D13</f>
        <v>1435.65556176</v>
      </c>
      <c r="D96" s="231"/>
      <c r="E96" s="231"/>
    </row>
    <row r="97" spans="1:5" ht="31.5" customHeight="1" thickBot="1">
      <c r="A97" s="203" t="s">
        <v>334</v>
      </c>
      <c r="B97" s="204" t="s">
        <v>335</v>
      </c>
      <c r="C97" s="205">
        <f>C98+C112+C118+C119+C104+C105</f>
        <v>9145.354469664</v>
      </c>
      <c r="D97" s="234">
        <f>'табл 5-6'!E14</f>
        <v>212</v>
      </c>
      <c r="E97" s="205">
        <f>E98+E112+E118+E119+E104+E105</f>
        <v>43.13846447954717</v>
      </c>
    </row>
    <row r="98" spans="1:5" ht="29.25" customHeight="1">
      <c r="A98" s="207" t="s">
        <v>240</v>
      </c>
      <c r="B98" s="208" t="s">
        <v>295</v>
      </c>
      <c r="C98" s="209">
        <f>(C99+C100+C101+C102+C103)*1</f>
        <v>3152.809129344</v>
      </c>
      <c r="D98" s="235">
        <f>D97</f>
        <v>212</v>
      </c>
      <c r="E98" s="209">
        <f>C98/D98</f>
        <v>14.871741176150945</v>
      </c>
    </row>
    <row r="99" spans="1:5" ht="12.75">
      <c r="A99" s="211" t="s">
        <v>296</v>
      </c>
      <c r="B99" s="9" t="s">
        <v>242</v>
      </c>
      <c r="C99" s="212">
        <f>'выдача техусл'!G21*'табл 5-6'!D14</f>
        <v>47.72856</v>
      </c>
      <c r="D99" s="212"/>
      <c r="E99" s="212"/>
    </row>
    <row r="100" spans="1:5" ht="12.75">
      <c r="A100" s="211" t="s">
        <v>297</v>
      </c>
      <c r="B100" s="9" t="s">
        <v>298</v>
      </c>
      <c r="C100" s="212">
        <f>('выдача техусл'!G14+'выдача техусл'!G15+'выдача техусл'!G16+'выдача техусл'!G13)*'табл 5-6'!D14</f>
        <v>1507.674</v>
      </c>
      <c r="D100" s="212"/>
      <c r="E100" s="212"/>
    </row>
    <row r="101" spans="1:5" ht="12.75">
      <c r="A101" s="211" t="s">
        <v>299</v>
      </c>
      <c r="B101" s="9" t="s">
        <v>300</v>
      </c>
      <c r="C101" s="212">
        <f>('выдача техусл'!G18+'выдача техусл'!G19+'выдача техусл'!G20+'выдача техусл'!G17)*'табл 5-6'!D14</f>
        <v>455.317548</v>
      </c>
      <c r="D101" s="212"/>
      <c r="E101" s="212"/>
    </row>
    <row r="102" spans="1:5" ht="12.75">
      <c r="A102" s="211" t="s">
        <v>301</v>
      </c>
      <c r="B102" s="9" t="s">
        <v>302</v>
      </c>
      <c r="C102" s="212">
        <f>'выдача техусл'!G22*'табл 5-6'!D14</f>
        <v>804.2880432000001</v>
      </c>
      <c r="D102" s="156"/>
      <c r="E102" s="156"/>
    </row>
    <row r="103" spans="1:5" ht="12.75">
      <c r="A103" s="211" t="s">
        <v>303</v>
      </c>
      <c r="B103" s="9" t="s">
        <v>304</v>
      </c>
      <c r="C103" s="212">
        <f>'выдача техусл'!G23*'табл 5-6'!D14</f>
        <v>337.800978144</v>
      </c>
      <c r="D103" s="156"/>
      <c r="E103" s="156"/>
    </row>
    <row r="104" spans="1:5" ht="25.5" hidden="1">
      <c r="A104" s="213" t="s">
        <v>279</v>
      </c>
      <c r="B104" s="214" t="s">
        <v>305</v>
      </c>
      <c r="C104" s="215">
        <v>0</v>
      </c>
      <c r="D104" s="235">
        <v>222.5</v>
      </c>
      <c r="E104" s="215">
        <f>C104/D104</f>
        <v>0</v>
      </c>
    </row>
    <row r="105" spans="1:5" ht="12.75" hidden="1">
      <c r="A105" s="217" t="s">
        <v>281</v>
      </c>
      <c r="B105" s="360" t="s">
        <v>306</v>
      </c>
      <c r="C105" s="361">
        <f>C106+C108+C109+C110+C111</f>
        <v>0</v>
      </c>
      <c r="D105" s="366">
        <v>222.5</v>
      </c>
      <c r="E105" s="361">
        <f>C105/D105</f>
        <v>0</v>
      </c>
    </row>
    <row r="106" spans="1:5" ht="12.75" hidden="1">
      <c r="A106" s="220"/>
      <c r="B106" s="352"/>
      <c r="C106" s="362"/>
      <c r="D106" s="367"/>
      <c r="E106" s="365"/>
    </row>
    <row r="107" spans="1:5" ht="12.75" hidden="1">
      <c r="A107" s="211" t="s">
        <v>307</v>
      </c>
      <c r="B107" s="9" t="s">
        <v>308</v>
      </c>
      <c r="C107" s="222"/>
      <c r="D107" s="235">
        <v>222.5</v>
      </c>
      <c r="E107" s="222"/>
    </row>
    <row r="108" spans="1:5" ht="12.75" hidden="1">
      <c r="A108" s="211" t="s">
        <v>309</v>
      </c>
      <c r="B108" s="9" t="s">
        <v>310</v>
      </c>
      <c r="C108" s="156">
        <v>0</v>
      </c>
      <c r="D108" s="235">
        <v>222.5</v>
      </c>
      <c r="E108" s="156"/>
    </row>
    <row r="109" spans="1:5" ht="12.75" hidden="1">
      <c r="A109" s="211" t="s">
        <v>311</v>
      </c>
      <c r="B109" s="9" t="s">
        <v>312</v>
      </c>
      <c r="C109" s="156">
        <v>0</v>
      </c>
      <c r="D109" s="235">
        <v>222.5</v>
      </c>
      <c r="E109" s="156"/>
    </row>
    <row r="110" spans="1:5" ht="51" hidden="1">
      <c r="A110" s="211" t="s">
        <v>313</v>
      </c>
      <c r="B110" s="10" t="s">
        <v>314</v>
      </c>
      <c r="C110" s="156">
        <v>0</v>
      </c>
      <c r="D110" s="235">
        <v>222.5</v>
      </c>
      <c r="E110" s="156"/>
    </row>
    <row r="111" spans="1:5" ht="25.5" hidden="1">
      <c r="A111" s="211" t="s">
        <v>315</v>
      </c>
      <c r="B111" s="10" t="s">
        <v>316</v>
      </c>
      <c r="C111" s="156">
        <v>0</v>
      </c>
      <c r="D111" s="235">
        <v>222.5</v>
      </c>
      <c r="E111" s="156"/>
    </row>
    <row r="112" spans="1:5" ht="25.5">
      <c r="A112" s="213" t="s">
        <v>279</v>
      </c>
      <c r="B112" s="223" t="s">
        <v>317</v>
      </c>
      <c r="C112" s="215">
        <f>(C113+C114+C115+C116+C117)*1</f>
        <v>2642.68236288</v>
      </c>
      <c r="D112" s="235">
        <f>D97</f>
        <v>212</v>
      </c>
      <c r="E112" s="215">
        <f>C112/D112</f>
        <v>12.465482843773584</v>
      </c>
    </row>
    <row r="113" spans="1:5" ht="12.75">
      <c r="A113" s="211" t="s">
        <v>318</v>
      </c>
      <c r="B113" s="9" t="s">
        <v>242</v>
      </c>
      <c r="C113" s="212">
        <f>'проверка выполнения техусловий'!G23*'табл 5-6'!D14</f>
        <v>47.72856</v>
      </c>
      <c r="D113" s="236"/>
      <c r="E113" s="212"/>
    </row>
    <row r="114" spans="1:5" ht="12.75">
      <c r="A114" s="211" t="s">
        <v>319</v>
      </c>
      <c r="B114" s="9" t="s">
        <v>298</v>
      </c>
      <c r="C114" s="212">
        <f>('проверка выполнения техусловий'!G15+'проверка выполнения техусловий'!G16+'проверка выполнения техусловий'!G17+'проверка выполнения техусловий'!G13+'проверка выполнения техусловий'!G14)*'табл 5-6'!D14</f>
        <v>1257.8</v>
      </c>
      <c r="D114" s="235"/>
      <c r="E114" s="212"/>
    </row>
    <row r="115" spans="1:5" ht="12.75">
      <c r="A115" s="211" t="s">
        <v>320</v>
      </c>
      <c r="B115" s="9" t="s">
        <v>300</v>
      </c>
      <c r="C115" s="212">
        <f>('проверка выполнения техусловий'!G20+'проверка выполнения техусловий'!G21+'проверка выполнения техусловий'!G22+'проверка выполнения техусловий'!G18+'проверка выполнения техусловий'!G19)*'табл 5-6'!D14</f>
        <v>379.8556</v>
      </c>
      <c r="D115" s="235"/>
      <c r="E115" s="212"/>
    </row>
    <row r="116" spans="1:5" ht="12.75">
      <c r="A116" s="211" t="s">
        <v>321</v>
      </c>
      <c r="B116" s="9" t="s">
        <v>302</v>
      </c>
      <c r="C116" s="212">
        <f>'проверка выполнения техусловий'!G24*'табл 5-6'!D14</f>
        <v>674.153664</v>
      </c>
      <c r="D116" s="235"/>
      <c r="E116" s="156"/>
    </row>
    <row r="117" spans="1:5" ht="12.75">
      <c r="A117" s="211" t="s">
        <v>322</v>
      </c>
      <c r="B117" s="9" t="s">
        <v>304</v>
      </c>
      <c r="C117" s="212">
        <f>'проверка выполнения техусловий'!G25*'табл 5-6'!D14</f>
        <v>283.14453887999997</v>
      </c>
      <c r="D117" s="235"/>
      <c r="E117" s="156"/>
    </row>
    <row r="118" spans="1:5" ht="41.25" customHeight="1">
      <c r="A118" s="213" t="s">
        <v>281</v>
      </c>
      <c r="B118" s="223" t="s">
        <v>323</v>
      </c>
      <c r="C118" s="215">
        <v>0</v>
      </c>
      <c r="D118" s="233">
        <v>0</v>
      </c>
      <c r="E118" s="215">
        <v>0</v>
      </c>
    </row>
    <row r="119" spans="1:5" ht="41.25" customHeight="1">
      <c r="A119" s="217" t="s">
        <v>283</v>
      </c>
      <c r="B119" s="223" t="s">
        <v>324</v>
      </c>
      <c r="C119" s="215">
        <f>C120+C121+C122+C123+C124</f>
        <v>3349.86297744</v>
      </c>
      <c r="D119" s="235">
        <f>D97</f>
        <v>212</v>
      </c>
      <c r="E119" s="215">
        <f>C119/D119</f>
        <v>15.801240459622642</v>
      </c>
    </row>
    <row r="120" spans="1:5" ht="12.75">
      <c r="A120" s="211" t="s">
        <v>325</v>
      </c>
      <c r="B120" s="50" t="s">
        <v>242</v>
      </c>
      <c r="C120" s="212">
        <f>'фактич.действия'!G27*'табл 5-6'!D14</f>
        <v>158.10085500000002</v>
      </c>
      <c r="D120" s="221"/>
      <c r="E120" s="221"/>
    </row>
    <row r="121" spans="1:5" ht="12.75">
      <c r="A121" s="211" t="s">
        <v>326</v>
      </c>
      <c r="B121" s="9" t="s">
        <v>298</v>
      </c>
      <c r="C121" s="212">
        <f>('фактич.действия'!G14+'фактич.действия'!G15+'фактич.действия'!G16+'фактич.действия'!G17+'фактич.действия'!G13+'фактич.действия'!G18+'фактич.действия'!G19)*'табл 5-6'!D14</f>
        <v>1519.4250000000002</v>
      </c>
      <c r="D121" s="212"/>
      <c r="E121" s="212"/>
    </row>
    <row r="122" spans="1:5" ht="12.75">
      <c r="A122" s="211" t="s">
        <v>327</v>
      </c>
      <c r="B122" s="9" t="s">
        <v>300</v>
      </c>
      <c r="C122" s="212">
        <f>('фактич.действия'!G21+'фактич.действия'!G22+'фактич.действия'!G23+'фактич.действия'!G24+'фактич.действия'!G20+'фактич.действия'!G25+'фактич.действия'!G26)*'табл 5-6'!D14</f>
        <v>458.86634999999995</v>
      </c>
      <c r="D122" s="212"/>
      <c r="E122" s="212"/>
    </row>
    <row r="123" spans="1:5" ht="12.75">
      <c r="A123" s="211" t="s">
        <v>328</v>
      </c>
      <c r="B123" s="9" t="s">
        <v>302</v>
      </c>
      <c r="C123" s="212">
        <f>'фактич.действия'!G28*'табл 5-6'!D14</f>
        <v>854.5568820000001</v>
      </c>
      <c r="D123" s="224"/>
      <c r="E123" s="224"/>
    </row>
    <row r="124" spans="1:5" ht="13.5" thickBot="1">
      <c r="A124" s="225" t="s">
        <v>329</v>
      </c>
      <c r="B124" s="60" t="s">
        <v>304</v>
      </c>
      <c r="C124" s="212">
        <f>'фактич.действия'!G29*'табл 5-6'!D14</f>
        <v>358.91389044</v>
      </c>
      <c r="D124" s="226"/>
      <c r="E124" s="226"/>
    </row>
    <row r="125" spans="1:5" ht="32.25" customHeight="1" thickBot="1">
      <c r="A125" s="203" t="s">
        <v>336</v>
      </c>
      <c r="B125" s="204" t="s">
        <v>337</v>
      </c>
      <c r="C125" s="237">
        <f>C13+C41+C69+C97</f>
        <v>100598.899166304</v>
      </c>
      <c r="D125" s="237">
        <f>D13+D41+D69+D97</f>
        <v>665</v>
      </c>
      <c r="E125" s="237">
        <f>C125/D125</f>
        <v>151.27654009970527</v>
      </c>
    </row>
    <row r="126" spans="1:5" ht="12.75">
      <c r="A126" s="238"/>
      <c r="B126" s="239"/>
      <c r="C126" s="240"/>
      <c r="D126" s="240"/>
      <c r="E126" s="240"/>
    </row>
    <row r="127" spans="1:5" ht="12.75">
      <c r="A127" s="238"/>
      <c r="B127" s="239"/>
      <c r="C127" s="240"/>
      <c r="D127" s="240"/>
      <c r="E127" s="240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</sheetData>
  <sheetProtection/>
  <mergeCells count="23">
    <mergeCell ref="C1:E1"/>
    <mergeCell ref="C2:E2"/>
    <mergeCell ref="C3:E3"/>
    <mergeCell ref="C4:E4"/>
    <mergeCell ref="C5:E5"/>
    <mergeCell ref="A7:E7"/>
    <mergeCell ref="A8:E9"/>
    <mergeCell ref="B21:B22"/>
    <mergeCell ref="C21:C22"/>
    <mergeCell ref="D21:D22"/>
    <mergeCell ref="E21:E22"/>
    <mergeCell ref="B49:B50"/>
    <mergeCell ref="C49:C50"/>
    <mergeCell ref="D49:D50"/>
    <mergeCell ref="E49:E50"/>
    <mergeCell ref="B77:B78"/>
    <mergeCell ref="C77:C78"/>
    <mergeCell ref="D77:D78"/>
    <mergeCell ref="E77:E78"/>
    <mergeCell ref="B105:B106"/>
    <mergeCell ref="C105:C106"/>
    <mergeCell ref="D105:D106"/>
    <mergeCell ref="E105:E106"/>
  </mergeCells>
  <printOptions/>
  <pageMargins left="0.9055118110236221" right="0.11811023622047245" top="0.7480314960629921" bottom="0.5511811023622047" header="0.31496062992125984" footer="0.31496062992125984"/>
  <pageSetup fitToWidth="2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22">
      <selection activeCell="A23" sqref="A23:E27"/>
    </sheetView>
  </sheetViews>
  <sheetFormatPr defaultColWidth="9.00390625" defaultRowHeight="12.75"/>
  <cols>
    <col min="1" max="1" width="7.375" style="0" customWidth="1"/>
    <col min="2" max="2" width="44.00390625" style="0" customWidth="1"/>
    <col min="3" max="3" width="19.00390625" style="0" customWidth="1"/>
    <col min="4" max="4" width="17.375" style="0" customWidth="1"/>
    <col min="5" max="5" width="18.125" style="0" customWidth="1"/>
  </cols>
  <sheetData>
    <row r="1" spans="1:5" ht="12.75">
      <c r="A1" s="6"/>
      <c r="C1" s="354" t="s">
        <v>234</v>
      </c>
      <c r="D1" s="354"/>
      <c r="E1" s="354"/>
    </row>
    <row r="2" spans="1:5" ht="12.75">
      <c r="A2" s="6"/>
      <c r="C2" s="354" t="s">
        <v>235</v>
      </c>
      <c r="D2" s="354"/>
      <c r="E2" s="354"/>
    </row>
    <row r="3" spans="1:5" ht="12.75">
      <c r="A3" s="6"/>
      <c r="C3" s="354" t="s">
        <v>236</v>
      </c>
      <c r="D3" s="354"/>
      <c r="E3" s="354"/>
    </row>
    <row r="4" spans="1:5" ht="12.75">
      <c r="A4" s="6"/>
      <c r="C4" s="355" t="s">
        <v>285</v>
      </c>
      <c r="D4" s="355"/>
      <c r="E4" s="355"/>
    </row>
    <row r="5" spans="1:5" ht="12.75">
      <c r="A5" s="6"/>
      <c r="C5" s="325" t="s">
        <v>340</v>
      </c>
      <c r="D5" s="325"/>
      <c r="E5" s="325"/>
    </row>
    <row r="6" spans="1:5" ht="12.75">
      <c r="A6" s="6"/>
      <c r="C6" s="199"/>
      <c r="D6" s="199"/>
      <c r="E6" s="199"/>
    </row>
    <row r="7" spans="1:5" ht="40.5" customHeight="1">
      <c r="A7" s="351" t="s">
        <v>359</v>
      </c>
      <c r="B7" s="356"/>
      <c r="C7" s="356"/>
      <c r="D7" s="356"/>
      <c r="E7" s="356"/>
    </row>
    <row r="8" spans="1:5" ht="12.75">
      <c r="A8" s="351" t="s">
        <v>286</v>
      </c>
      <c r="B8" s="356"/>
      <c r="C8" s="356"/>
      <c r="D8" s="356"/>
      <c r="E8" s="356"/>
    </row>
    <row r="9" spans="1:5" ht="12.75">
      <c r="A9" s="351"/>
      <c r="B9" s="356"/>
      <c r="C9" s="356"/>
      <c r="D9" s="356"/>
      <c r="E9" s="356"/>
    </row>
    <row r="10" spans="1:5" ht="12.75">
      <c r="A10" s="6"/>
      <c r="E10" s="200" t="s">
        <v>287</v>
      </c>
    </row>
    <row r="11" spans="1:5" ht="78.75" customHeight="1">
      <c r="A11" s="201" t="s">
        <v>288</v>
      </c>
      <c r="B11" s="246" t="s">
        <v>289</v>
      </c>
      <c r="C11" s="247" t="s">
        <v>290</v>
      </c>
      <c r="D11" s="247" t="s">
        <v>291</v>
      </c>
      <c r="E11" s="247" t="s">
        <v>292</v>
      </c>
    </row>
    <row r="12" spans="1:5" ht="13.5" thickBot="1">
      <c r="A12" s="59">
        <v>1</v>
      </c>
      <c r="B12" s="59">
        <v>2</v>
      </c>
      <c r="C12" s="59">
        <v>3</v>
      </c>
      <c r="D12" s="59">
        <v>4</v>
      </c>
      <c r="E12" s="59">
        <v>5</v>
      </c>
    </row>
    <row r="13" spans="1:5" ht="31.5" customHeight="1" thickBot="1">
      <c r="A13" s="203"/>
      <c r="B13" s="204" t="s">
        <v>337</v>
      </c>
      <c r="C13" s="237">
        <f>C14+C15+C16+C17</f>
        <v>100598.899166304</v>
      </c>
      <c r="D13" s="237">
        <f>'табл 5-6'!E16</f>
        <v>665</v>
      </c>
      <c r="E13" s="237">
        <f>C13/D13</f>
        <v>151.27654009970527</v>
      </c>
    </row>
    <row r="14" spans="1:5" ht="30.75" customHeight="1">
      <c r="A14" s="245" t="s">
        <v>240</v>
      </c>
      <c r="B14" s="223" t="s">
        <v>295</v>
      </c>
      <c r="C14" s="215">
        <f>'Кальк.мероприятий'!C14+'Кальк.мероприятий'!C42+'Кальк.мероприятий'!C70+'Кальк.мероприятий'!C98</f>
        <v>34680.900422784</v>
      </c>
      <c r="D14" s="216">
        <f>D13</f>
        <v>665</v>
      </c>
      <c r="E14" s="215">
        <f>C14/D14</f>
        <v>52.151729959073684</v>
      </c>
    </row>
    <row r="15" spans="1:5" ht="36.75" customHeight="1">
      <c r="A15" s="213" t="s">
        <v>279</v>
      </c>
      <c r="B15" s="223" t="s">
        <v>317</v>
      </c>
      <c r="C15" s="215">
        <f>'Кальк.мероприятий'!C28+'Кальк.мероприятий'!C56+'Кальк.мероприятий'!C84+'Кальк.мероприятий'!C112</f>
        <v>29069.50599168</v>
      </c>
      <c r="D15" s="216">
        <f>D13</f>
        <v>665</v>
      </c>
      <c r="E15" s="215">
        <f>C15/D15</f>
        <v>43.713542844631576</v>
      </c>
    </row>
    <row r="16" spans="1:5" ht="45.75" customHeight="1">
      <c r="A16" s="213" t="s">
        <v>281</v>
      </c>
      <c r="B16" s="223" t="s">
        <v>323</v>
      </c>
      <c r="C16" s="215">
        <f>'Кальк.мероприятий'!C34+'Кальк.мероприятий'!C62+'Кальк.мероприятий'!C90+'Кальк.мероприятий'!C118</f>
        <v>0</v>
      </c>
      <c r="D16" s="216">
        <v>0</v>
      </c>
      <c r="E16" s="215">
        <v>0</v>
      </c>
    </row>
    <row r="17" spans="1:5" ht="50.25" customHeight="1">
      <c r="A17" s="213" t="s">
        <v>283</v>
      </c>
      <c r="B17" s="223" t="s">
        <v>324</v>
      </c>
      <c r="C17" s="215">
        <f>'Кальк.мероприятий'!C35+'Кальк.мероприятий'!C63+'Кальк.мероприятий'!C91+'Кальк.мероприятий'!C119</f>
        <v>36848.49275184001</v>
      </c>
      <c r="D17" s="216">
        <f>D13</f>
        <v>665</v>
      </c>
      <c r="E17" s="215">
        <f>C17/D17</f>
        <v>55.41126729600001</v>
      </c>
    </row>
    <row r="18" spans="1:5" ht="12.75">
      <c r="A18" s="238"/>
      <c r="B18" s="239"/>
      <c r="C18" s="240"/>
      <c r="D18" s="240"/>
      <c r="E18" s="240"/>
    </row>
    <row r="19" spans="1:5" ht="12.75">
      <c r="A19" s="238"/>
      <c r="B19" s="239"/>
      <c r="C19" s="240"/>
      <c r="D19" s="240"/>
      <c r="E19" s="240"/>
    </row>
    <row r="20" spans="1:5" ht="12.75">
      <c r="A20" s="238"/>
      <c r="B20" s="239"/>
      <c r="C20" s="240"/>
      <c r="D20" s="240"/>
      <c r="E20" s="240"/>
    </row>
    <row r="21" spans="1:5" ht="12.75">
      <c r="A21" s="238"/>
      <c r="B21" s="239"/>
      <c r="C21" s="240"/>
      <c r="D21" s="240"/>
      <c r="E21" s="240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</sheetData>
  <sheetProtection/>
  <mergeCells count="7">
    <mergeCell ref="A8:E9"/>
    <mergeCell ref="C1:E1"/>
    <mergeCell ref="C2:E2"/>
    <mergeCell ref="C3:E3"/>
    <mergeCell ref="C4:E4"/>
    <mergeCell ref="C5:E5"/>
    <mergeCell ref="A7:E7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7">
      <selection activeCell="J20" sqref="J20"/>
    </sheetView>
  </sheetViews>
  <sheetFormatPr defaultColWidth="9.00390625" defaultRowHeight="12.75"/>
  <cols>
    <col min="1" max="1" width="4.875" style="0" customWidth="1"/>
    <col min="2" max="2" width="40.00390625" style="0" customWidth="1"/>
    <col min="3" max="3" width="9.25390625" style="0" customWidth="1"/>
    <col min="4" max="4" width="26.875" style="0" hidden="1" customWidth="1"/>
    <col min="5" max="5" width="20.125" style="0" customWidth="1"/>
    <col min="6" max="6" width="17.00390625" style="0" customWidth="1"/>
    <col min="7" max="7" width="20.25390625" style="0" customWidth="1"/>
    <col min="8" max="8" width="11.375" style="0" customWidth="1"/>
    <col min="9" max="9" width="3.25390625" style="0" customWidth="1"/>
    <col min="10" max="10" width="17.375" style="0" customWidth="1"/>
  </cols>
  <sheetData>
    <row r="1" spans="1:10" ht="18.75">
      <c r="A1" s="1"/>
      <c r="B1" s="1"/>
      <c r="C1" s="27" t="s">
        <v>75</v>
      </c>
      <c r="D1" s="1"/>
      <c r="E1" s="1"/>
      <c r="G1" s="2"/>
      <c r="I1" s="2"/>
      <c r="J1" s="2"/>
    </row>
    <row r="2" spans="1:10" ht="18.75">
      <c r="A2" s="1"/>
      <c r="B2" s="1"/>
      <c r="C2" s="27" t="s">
        <v>89</v>
      </c>
      <c r="D2" s="1"/>
      <c r="E2" s="1"/>
      <c r="G2" s="2"/>
      <c r="I2" s="2"/>
      <c r="J2" s="2"/>
    </row>
    <row r="3" spans="1:10" ht="18.75">
      <c r="A3" s="1"/>
      <c r="B3" s="1"/>
      <c r="C3" s="27" t="s">
        <v>84</v>
      </c>
      <c r="D3" s="1"/>
      <c r="E3" s="1"/>
      <c r="G3" s="2"/>
      <c r="I3" s="2"/>
      <c r="J3" s="2"/>
    </row>
    <row r="4" spans="1:10" ht="18.75">
      <c r="A4" s="1"/>
      <c r="B4" s="1"/>
      <c r="C4" s="27" t="s">
        <v>93</v>
      </c>
      <c r="D4" s="1"/>
      <c r="E4" s="1"/>
      <c r="G4" s="2"/>
      <c r="I4" s="5"/>
      <c r="J4" s="5"/>
    </row>
    <row r="5" spans="1:10" ht="18.75">
      <c r="A5" s="1"/>
      <c r="B5" s="1"/>
      <c r="C5" s="27" t="s">
        <v>232</v>
      </c>
      <c r="D5" s="1"/>
      <c r="E5" s="1"/>
      <c r="F5" s="1"/>
      <c r="G5" s="1"/>
      <c r="H5" s="3"/>
      <c r="I5" s="3"/>
      <c r="J5" s="5"/>
    </row>
    <row r="6" spans="1:10" ht="18.75">
      <c r="A6" s="1"/>
      <c r="B6" s="1"/>
      <c r="C6" s="27"/>
      <c r="D6" s="1"/>
      <c r="E6" s="1"/>
      <c r="F6" s="1"/>
      <c r="G6" s="1"/>
      <c r="H6" s="3"/>
      <c r="I6" s="3"/>
      <c r="J6" s="5"/>
    </row>
    <row r="7" spans="1:10" ht="15">
      <c r="A7" s="317" t="s">
        <v>2</v>
      </c>
      <c r="B7" s="317"/>
      <c r="C7" s="317"/>
      <c r="D7" s="317"/>
      <c r="E7" s="317"/>
      <c r="F7" s="317"/>
      <c r="G7" s="317"/>
      <c r="H7" s="4"/>
      <c r="I7" s="4"/>
      <c r="J7" s="4"/>
    </row>
    <row r="8" spans="1:10" ht="15">
      <c r="A8" s="317" t="s">
        <v>379</v>
      </c>
      <c r="B8" s="317"/>
      <c r="C8" s="317"/>
      <c r="D8" s="317"/>
      <c r="E8" s="317"/>
      <c r="F8" s="317"/>
      <c r="G8" s="317"/>
      <c r="H8" s="1"/>
      <c r="I8" s="1"/>
      <c r="J8" s="1"/>
    </row>
    <row r="9" spans="1:10" ht="15.75">
      <c r="A9" s="317" t="s">
        <v>431</v>
      </c>
      <c r="B9" s="317"/>
      <c r="C9" s="317"/>
      <c r="D9" s="317"/>
      <c r="E9" s="317"/>
      <c r="F9" s="317"/>
      <c r="G9" s="317"/>
      <c r="H9" s="2"/>
      <c r="I9" s="2"/>
      <c r="J9" s="2"/>
    </row>
    <row r="10" spans="1:10" ht="15.75">
      <c r="A10" s="317" t="s">
        <v>426</v>
      </c>
      <c r="B10" s="317"/>
      <c r="C10" s="317"/>
      <c r="D10" s="317"/>
      <c r="E10" s="317"/>
      <c r="F10" s="317"/>
      <c r="G10" s="317"/>
      <c r="H10" s="2"/>
      <c r="I10" s="2"/>
      <c r="J10" s="2"/>
    </row>
    <row r="12" spans="1:8" ht="39.75" customHeight="1">
      <c r="A12" s="14" t="s">
        <v>10</v>
      </c>
      <c r="B12" s="14" t="s">
        <v>8</v>
      </c>
      <c r="C12" s="14" t="s">
        <v>9</v>
      </c>
      <c r="D12" s="14" t="s">
        <v>5</v>
      </c>
      <c r="E12" s="15" t="s">
        <v>398</v>
      </c>
      <c r="F12" s="15" t="s">
        <v>394</v>
      </c>
      <c r="G12" s="15" t="s">
        <v>12</v>
      </c>
      <c r="H12" s="6"/>
    </row>
    <row r="13" spans="1:8" ht="21" customHeight="1">
      <c r="A13" s="8">
        <v>1</v>
      </c>
      <c r="B13" s="271" t="s">
        <v>384</v>
      </c>
      <c r="C13" s="8" t="s">
        <v>4</v>
      </c>
      <c r="D13" s="272"/>
      <c r="E13" s="273">
        <f>зарплата!H12</f>
        <v>461.7</v>
      </c>
      <c r="F13" s="274">
        <v>0.25</v>
      </c>
      <c r="G13" s="275">
        <f>E13*F13</f>
        <v>115.425</v>
      </c>
      <c r="H13" s="6"/>
    </row>
    <row r="14" spans="1:7" ht="20.25" customHeight="1">
      <c r="A14" s="8">
        <v>2</v>
      </c>
      <c r="B14" s="9" t="s">
        <v>16</v>
      </c>
      <c r="C14" s="8" t="s">
        <v>4</v>
      </c>
      <c r="D14" s="9" t="s">
        <v>18</v>
      </c>
      <c r="E14" s="83">
        <f>зарплата!H22</f>
        <v>127.9</v>
      </c>
      <c r="F14" s="9">
        <v>2.25</v>
      </c>
      <c r="G14" s="83">
        <f aca="true" t="shared" si="0" ref="G14:G24">E14*F14</f>
        <v>287.77500000000003</v>
      </c>
    </row>
    <row r="15" spans="1:7" ht="20.25" customHeight="1">
      <c r="A15" s="8">
        <v>3</v>
      </c>
      <c r="B15" s="9" t="s">
        <v>79</v>
      </c>
      <c r="C15" s="8" t="s">
        <v>4</v>
      </c>
      <c r="D15" s="9"/>
      <c r="E15" s="83">
        <f>зарплата!H18</f>
        <v>127.9</v>
      </c>
      <c r="F15" s="9">
        <v>1.5</v>
      </c>
      <c r="G15" s="83">
        <f t="shared" si="0"/>
        <v>191.85000000000002</v>
      </c>
    </row>
    <row r="16" spans="1:7" ht="18.75" customHeight="1">
      <c r="A16" s="8">
        <v>4</v>
      </c>
      <c r="B16" s="9" t="s">
        <v>17</v>
      </c>
      <c r="C16" s="8" t="s">
        <v>4</v>
      </c>
      <c r="D16" s="9" t="s">
        <v>28</v>
      </c>
      <c r="E16" s="83">
        <f>зарплата!H21</f>
        <v>108.3</v>
      </c>
      <c r="F16" s="315">
        <v>4</v>
      </c>
      <c r="G16" s="83">
        <f t="shared" si="0"/>
        <v>433.2</v>
      </c>
    </row>
    <row r="17" spans="1:7" ht="15.75" customHeight="1">
      <c r="A17" s="8">
        <v>5</v>
      </c>
      <c r="B17" s="9" t="s">
        <v>3</v>
      </c>
      <c r="C17" s="8" t="s">
        <v>4</v>
      </c>
      <c r="D17" s="28" t="s">
        <v>27</v>
      </c>
      <c r="E17" s="83">
        <f>зарплата!H20</f>
        <v>118</v>
      </c>
      <c r="F17" s="9">
        <v>2.75</v>
      </c>
      <c r="G17" s="83">
        <f t="shared" si="0"/>
        <v>324.5</v>
      </c>
    </row>
    <row r="18" spans="1:7" ht="18" customHeight="1">
      <c r="A18" s="8">
        <v>6</v>
      </c>
      <c r="B18" s="9" t="s">
        <v>366</v>
      </c>
      <c r="C18" s="8" t="s">
        <v>4</v>
      </c>
      <c r="D18" s="28"/>
      <c r="E18" s="83">
        <f>зарплата!H16</f>
        <v>237.8</v>
      </c>
      <c r="F18" s="9">
        <v>0.5</v>
      </c>
      <c r="G18" s="83">
        <f>E18*F18</f>
        <v>118.9</v>
      </c>
    </row>
    <row r="19" spans="1:7" ht="16.5" customHeight="1">
      <c r="A19" s="8">
        <v>7</v>
      </c>
      <c r="B19" s="9" t="s">
        <v>367</v>
      </c>
      <c r="C19" s="8" t="s">
        <v>4</v>
      </c>
      <c r="D19" s="28"/>
      <c r="E19" s="83">
        <f>зарплата!H17</f>
        <v>191.1</v>
      </c>
      <c r="F19" s="9">
        <v>0.25</v>
      </c>
      <c r="G19" s="83">
        <f>E19*F19</f>
        <v>47.775</v>
      </c>
    </row>
    <row r="20" spans="1:7" ht="18" customHeight="1">
      <c r="A20" s="8">
        <v>8</v>
      </c>
      <c r="B20" s="10" t="s">
        <v>432</v>
      </c>
      <c r="C20" s="8" t="s">
        <v>4</v>
      </c>
      <c r="D20" s="28"/>
      <c r="E20" s="83">
        <f aca="true" t="shared" si="1" ref="E20:E26">E13*0.302</f>
        <v>139.4334</v>
      </c>
      <c r="F20" s="9">
        <v>0.25</v>
      </c>
      <c r="G20" s="83">
        <f>E20*F20</f>
        <v>34.85835</v>
      </c>
    </row>
    <row r="21" spans="1:7" ht="18" customHeight="1">
      <c r="A21" s="8">
        <v>9</v>
      </c>
      <c r="B21" s="10" t="s">
        <v>375</v>
      </c>
      <c r="C21" s="8" t="s">
        <v>4</v>
      </c>
      <c r="D21" s="9" t="s">
        <v>15</v>
      </c>
      <c r="E21" s="83">
        <f t="shared" si="1"/>
        <v>38.6258</v>
      </c>
      <c r="F21" s="9">
        <v>2.25</v>
      </c>
      <c r="G21" s="83">
        <f t="shared" si="0"/>
        <v>86.90805</v>
      </c>
    </row>
    <row r="22" spans="1:7" ht="18" customHeight="1">
      <c r="A22" s="8">
        <v>10</v>
      </c>
      <c r="B22" s="10" t="s">
        <v>369</v>
      </c>
      <c r="C22" s="8" t="s">
        <v>4</v>
      </c>
      <c r="D22" s="9"/>
      <c r="E22" s="83">
        <f t="shared" si="1"/>
        <v>38.6258</v>
      </c>
      <c r="F22" s="9">
        <v>1.5</v>
      </c>
      <c r="G22" s="83">
        <f t="shared" si="0"/>
        <v>57.9387</v>
      </c>
    </row>
    <row r="23" spans="1:7" ht="18.75" customHeight="1">
      <c r="A23" s="8">
        <v>11</v>
      </c>
      <c r="B23" s="10" t="s">
        <v>433</v>
      </c>
      <c r="C23" s="8" t="s">
        <v>4</v>
      </c>
      <c r="D23" s="9" t="s">
        <v>7</v>
      </c>
      <c r="E23" s="83">
        <f t="shared" si="1"/>
        <v>32.7066</v>
      </c>
      <c r="F23" s="9">
        <v>4</v>
      </c>
      <c r="G23" s="83">
        <f t="shared" si="0"/>
        <v>130.8264</v>
      </c>
    </row>
    <row r="24" spans="1:7" ht="18.75" customHeight="1">
      <c r="A24" s="8">
        <v>12</v>
      </c>
      <c r="B24" s="10" t="s">
        <v>371</v>
      </c>
      <c r="C24" s="8" t="s">
        <v>4</v>
      </c>
      <c r="D24" s="9" t="s">
        <v>6</v>
      </c>
      <c r="E24" s="83">
        <f t="shared" si="1"/>
        <v>35.635999999999996</v>
      </c>
      <c r="F24" s="9">
        <v>2.75</v>
      </c>
      <c r="G24" s="83">
        <f t="shared" si="0"/>
        <v>97.999</v>
      </c>
    </row>
    <row r="25" spans="1:7" ht="18.75" customHeight="1">
      <c r="A25" s="8">
        <v>13</v>
      </c>
      <c r="B25" s="9" t="s">
        <v>376</v>
      </c>
      <c r="C25" s="8" t="s">
        <v>4</v>
      </c>
      <c r="D25" s="9"/>
      <c r="E25" s="83">
        <f t="shared" si="1"/>
        <v>71.8156</v>
      </c>
      <c r="F25" s="9">
        <v>0.5</v>
      </c>
      <c r="G25" s="83">
        <f>E25*F25</f>
        <v>35.9078</v>
      </c>
    </row>
    <row r="26" spans="1:7" ht="18.75" customHeight="1">
      <c r="A26" s="8">
        <v>14</v>
      </c>
      <c r="B26" s="9" t="s">
        <v>377</v>
      </c>
      <c r="C26" s="8" t="s">
        <v>4</v>
      </c>
      <c r="D26" s="9"/>
      <c r="E26" s="83">
        <f t="shared" si="1"/>
        <v>57.712199999999996</v>
      </c>
      <c r="F26" s="9">
        <v>0.25</v>
      </c>
      <c r="G26" s="83">
        <f>E26*F26</f>
        <v>14.428049999999999</v>
      </c>
    </row>
    <row r="27" spans="1:7" ht="17.25" customHeight="1">
      <c r="A27" s="8">
        <v>15</v>
      </c>
      <c r="B27" s="9" t="s">
        <v>96</v>
      </c>
      <c r="C27" s="8" t="s">
        <v>4</v>
      </c>
      <c r="D27" s="9" t="s">
        <v>24</v>
      </c>
      <c r="E27" s="316">
        <f>22.22*2*2*107.4%+3.5*0.75*22.22*107.4%</f>
        <v>158.10085500000002</v>
      </c>
      <c r="F27" s="83"/>
      <c r="G27" s="83">
        <f>E27</f>
        <v>158.10085500000002</v>
      </c>
    </row>
    <row r="28" spans="1:7" ht="18" customHeight="1">
      <c r="A28" s="8">
        <v>16</v>
      </c>
      <c r="B28" s="9" t="s">
        <v>302</v>
      </c>
      <c r="C28" s="8" t="s">
        <v>4</v>
      </c>
      <c r="D28" s="11">
        <v>0.4</v>
      </c>
      <c r="E28" s="86">
        <v>0.4</v>
      </c>
      <c r="F28" s="11"/>
      <c r="G28" s="83">
        <f>SUM(G13:G27)*E28</f>
        <v>854.5568820000001</v>
      </c>
    </row>
    <row r="29" spans="1:7" ht="18.75" customHeight="1">
      <c r="A29" s="8">
        <v>17</v>
      </c>
      <c r="B29" s="9" t="s">
        <v>14</v>
      </c>
      <c r="C29" s="8" t="s">
        <v>4</v>
      </c>
      <c r="D29" s="11">
        <v>0.09</v>
      </c>
      <c r="E29" s="86">
        <v>0.12</v>
      </c>
      <c r="F29" s="11"/>
      <c r="G29" s="83">
        <f>SUM(G13:G28)*E29</f>
        <v>358.91389044</v>
      </c>
    </row>
    <row r="30" spans="1:7" ht="19.5" customHeight="1">
      <c r="A30" s="9"/>
      <c r="B30" s="12" t="s">
        <v>20</v>
      </c>
      <c r="C30" s="8" t="s">
        <v>4</v>
      </c>
      <c r="D30" s="9"/>
      <c r="E30" s="16"/>
      <c r="F30" s="9"/>
      <c r="G30" s="84">
        <f>SUM(G13:G29)</f>
        <v>3349.86297744</v>
      </c>
    </row>
    <row r="31" spans="1:7" ht="12.75" hidden="1">
      <c r="A31" s="9"/>
      <c r="B31" s="9" t="s">
        <v>11</v>
      </c>
      <c r="C31" s="8" t="s">
        <v>4</v>
      </c>
      <c r="D31" s="11">
        <v>0.18</v>
      </c>
      <c r="E31" s="11">
        <v>0.18</v>
      </c>
      <c r="F31" s="11"/>
      <c r="G31" s="16">
        <f>G30*0.18</f>
        <v>602.9753359392</v>
      </c>
    </row>
    <row r="32" spans="1:7" ht="3" customHeight="1" hidden="1">
      <c r="A32" s="9"/>
      <c r="B32" s="13" t="s">
        <v>21</v>
      </c>
      <c r="C32" s="8" t="s">
        <v>4</v>
      </c>
      <c r="D32" s="9"/>
      <c r="E32" s="16"/>
      <c r="F32" s="9"/>
      <c r="G32" s="16">
        <f>G30+G31</f>
        <v>3952.8383133792004</v>
      </c>
    </row>
    <row r="33" spans="1:7" ht="14.25">
      <c r="A33" s="67"/>
      <c r="B33" s="276"/>
      <c r="C33" s="277"/>
      <c r="D33" s="67"/>
      <c r="E33" s="278"/>
      <c r="F33" s="67"/>
      <c r="G33" s="278"/>
    </row>
    <row r="35" spans="2:8" ht="14.25">
      <c r="B35" s="77" t="s">
        <v>70</v>
      </c>
      <c r="C35" s="77"/>
      <c r="D35" s="77"/>
      <c r="E35" s="77"/>
      <c r="F35" s="77"/>
      <c r="G35" s="77" t="s">
        <v>71</v>
      </c>
      <c r="H35" s="79"/>
    </row>
  </sheetData>
  <sheetProtection/>
  <mergeCells count="4">
    <mergeCell ref="A7:G7"/>
    <mergeCell ref="A8:G8"/>
    <mergeCell ref="A9:G9"/>
    <mergeCell ref="A10:G10"/>
  </mergeCells>
  <printOptions horizontalCentered="1"/>
  <pageMargins left="0.7874015748031497" right="0.7874015748031497" top="0.7874015748031497" bottom="0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7.125" style="0" customWidth="1"/>
    <col min="2" max="2" width="36.375" style="0" customWidth="1"/>
    <col min="3" max="3" width="9.875" style="0" customWidth="1"/>
    <col min="4" max="4" width="13.00390625" style="0" customWidth="1"/>
    <col min="6" max="6" width="4.875" style="0" customWidth="1"/>
    <col min="7" max="7" width="51.875" style="0" customWidth="1"/>
    <col min="8" max="8" width="11.125" style="0" customWidth="1"/>
    <col min="9" max="9" width="12.625" style="0" customWidth="1"/>
  </cols>
  <sheetData>
    <row r="1" spans="1:9" ht="15.75">
      <c r="A1" s="318" t="s">
        <v>99</v>
      </c>
      <c r="B1" s="318"/>
      <c r="C1" s="318"/>
      <c r="D1" s="318"/>
      <c r="E1" s="90"/>
      <c r="F1" s="318" t="s">
        <v>100</v>
      </c>
      <c r="G1" s="318"/>
      <c r="H1" s="318"/>
      <c r="I1" s="318"/>
    </row>
    <row r="2" spans="1:9" ht="15.75">
      <c r="A2" s="318" t="s">
        <v>101</v>
      </c>
      <c r="B2" s="318"/>
      <c r="C2" s="318"/>
      <c r="D2" s="318"/>
      <c r="E2" s="90"/>
      <c r="F2" s="318" t="s">
        <v>102</v>
      </c>
      <c r="G2" s="318"/>
      <c r="H2" s="318"/>
      <c r="I2" s="318"/>
    </row>
    <row r="3" spans="1:9" ht="15.75">
      <c r="A3" s="89"/>
      <c r="B3" s="89" t="s">
        <v>231</v>
      </c>
      <c r="C3" s="89"/>
      <c r="D3" s="89"/>
      <c r="E3" s="90"/>
      <c r="F3" s="89"/>
      <c r="G3" s="89"/>
      <c r="H3" s="89"/>
      <c r="I3" s="89"/>
    </row>
    <row r="4" spans="1:9" ht="15">
      <c r="A4" s="90"/>
      <c r="B4" s="90"/>
      <c r="C4" s="90"/>
      <c r="D4" s="91" t="s">
        <v>103</v>
      </c>
      <c r="E4" s="90"/>
      <c r="F4" s="90"/>
      <c r="G4" s="90"/>
      <c r="H4" s="90"/>
      <c r="I4" s="91" t="s">
        <v>104</v>
      </c>
    </row>
    <row r="5" spans="1:9" ht="15">
      <c r="A5" s="92" t="s">
        <v>105</v>
      </c>
      <c r="B5" s="92" t="s">
        <v>106</v>
      </c>
      <c r="C5" s="92" t="s">
        <v>9</v>
      </c>
      <c r="D5" s="92" t="s">
        <v>107</v>
      </c>
      <c r="E5" s="90"/>
      <c r="F5" s="92" t="s">
        <v>105</v>
      </c>
      <c r="G5" s="92" t="s">
        <v>106</v>
      </c>
      <c r="H5" s="92" t="s">
        <v>9</v>
      </c>
      <c r="I5" s="92" t="s">
        <v>107</v>
      </c>
    </row>
    <row r="6" spans="1:9" ht="15">
      <c r="A6" s="92">
        <v>1</v>
      </c>
      <c r="B6" s="92">
        <v>2</v>
      </c>
      <c r="C6" s="92">
        <v>3</v>
      </c>
      <c r="D6" s="92">
        <v>4</v>
      </c>
      <c r="E6" s="90"/>
      <c r="F6" s="92">
        <v>1</v>
      </c>
      <c r="G6" s="92">
        <v>2</v>
      </c>
      <c r="H6" s="92">
        <v>3</v>
      </c>
      <c r="I6" s="92">
        <v>4</v>
      </c>
    </row>
    <row r="7" spans="1:9" ht="15">
      <c r="A7" s="93">
        <v>1</v>
      </c>
      <c r="B7" s="93" t="s">
        <v>108</v>
      </c>
      <c r="C7" s="93" t="s">
        <v>109</v>
      </c>
      <c r="D7" s="94">
        <f>'табл 5-6'!D29+'табл 5-6'!D16</f>
        <v>111</v>
      </c>
      <c r="E7" s="90"/>
      <c r="F7" s="93">
        <v>1</v>
      </c>
      <c r="G7" s="93" t="s">
        <v>110</v>
      </c>
      <c r="H7" s="93" t="s">
        <v>109</v>
      </c>
      <c r="I7" s="94">
        <f>'табл 5-6'!D28+'табл 5-6'!D16</f>
        <v>111</v>
      </c>
    </row>
    <row r="8" spans="1:9" ht="15">
      <c r="A8" s="95">
        <v>2</v>
      </c>
      <c r="B8" s="95" t="s">
        <v>111</v>
      </c>
      <c r="C8" s="95" t="s">
        <v>4</v>
      </c>
      <c r="D8" s="96">
        <f>'выдача техусл'!G24</f>
        <v>3152.809129344</v>
      </c>
      <c r="E8" s="90"/>
      <c r="F8" s="95">
        <v>2</v>
      </c>
      <c r="G8" s="95" t="s">
        <v>112</v>
      </c>
      <c r="H8" s="95"/>
      <c r="I8" s="96">
        <f>'проверка выполнения техусловий'!G26</f>
        <v>2642.68236288</v>
      </c>
    </row>
    <row r="9" spans="1:9" ht="15">
      <c r="A9" s="97"/>
      <c r="B9" s="97"/>
      <c r="C9" s="97"/>
      <c r="D9" s="98"/>
      <c r="E9" s="90"/>
      <c r="F9" s="97"/>
      <c r="G9" s="97" t="s">
        <v>113</v>
      </c>
      <c r="H9" s="97" t="s">
        <v>4</v>
      </c>
      <c r="I9" s="98"/>
    </row>
    <row r="10" spans="1:9" ht="15">
      <c r="A10" s="99">
        <v>3</v>
      </c>
      <c r="B10" s="100" t="s">
        <v>114</v>
      </c>
      <c r="C10" s="99"/>
      <c r="D10" s="101">
        <f>D7*D8</f>
        <v>349961.813357184</v>
      </c>
      <c r="E10" s="90"/>
      <c r="F10" s="99">
        <v>3</v>
      </c>
      <c r="G10" s="100" t="s">
        <v>114</v>
      </c>
      <c r="H10" s="99"/>
      <c r="I10" s="101">
        <f>I7*I8</f>
        <v>293337.74227968</v>
      </c>
    </row>
    <row r="11" spans="1:9" ht="15">
      <c r="A11" s="102"/>
      <c r="B11" s="103" t="s">
        <v>115</v>
      </c>
      <c r="C11" s="104" t="s">
        <v>4</v>
      </c>
      <c r="D11" s="105"/>
      <c r="E11" s="90"/>
      <c r="F11" s="102"/>
      <c r="G11" s="103" t="s">
        <v>116</v>
      </c>
      <c r="H11" s="104" t="s">
        <v>4</v>
      </c>
      <c r="I11" s="105"/>
    </row>
    <row r="12" spans="1:9" ht="15">
      <c r="A12" s="90"/>
      <c r="B12" s="90"/>
      <c r="C12" s="90"/>
      <c r="D12" s="90"/>
      <c r="E12" s="90"/>
      <c r="F12" s="90"/>
      <c r="G12" s="90"/>
      <c r="H12" s="90"/>
      <c r="I12" s="90"/>
    </row>
    <row r="13" spans="1:9" ht="15">
      <c r="A13" s="90"/>
      <c r="B13" s="90"/>
      <c r="C13" s="90"/>
      <c r="D13" s="90"/>
      <c r="E13" s="90"/>
      <c r="F13" s="90"/>
      <c r="G13" s="90"/>
      <c r="H13" s="90"/>
      <c r="I13" s="90"/>
    </row>
    <row r="14" spans="1:12" ht="15.75">
      <c r="A14" s="318" t="s">
        <v>117</v>
      </c>
      <c r="B14" s="318"/>
      <c r="C14" s="318"/>
      <c r="D14" s="318"/>
      <c r="E14" s="90"/>
      <c r="F14" s="319" t="s">
        <v>387</v>
      </c>
      <c r="G14" s="319"/>
      <c r="H14" s="319"/>
      <c r="I14" s="319"/>
      <c r="J14" s="319"/>
      <c r="K14" s="319"/>
      <c r="L14" s="319"/>
    </row>
    <row r="15" spans="1:12" ht="15.75">
      <c r="A15" s="318" t="s">
        <v>118</v>
      </c>
      <c r="B15" s="318"/>
      <c r="C15" s="318"/>
      <c r="D15" s="318"/>
      <c r="E15" s="90"/>
      <c r="F15" s="320"/>
      <c r="G15" s="320"/>
      <c r="H15" s="320"/>
      <c r="I15" s="320"/>
      <c r="J15" s="320"/>
      <c r="K15" s="320"/>
      <c r="L15" s="320"/>
    </row>
    <row r="16" spans="1:9" ht="15">
      <c r="A16" s="90"/>
      <c r="B16" s="90"/>
      <c r="C16" s="90"/>
      <c r="D16" s="90"/>
      <c r="E16" s="90"/>
      <c r="F16" s="106"/>
      <c r="G16" s="106"/>
      <c r="H16" s="106"/>
      <c r="I16" s="106"/>
    </row>
    <row r="17" spans="1:9" ht="15">
      <c r="A17" s="90"/>
      <c r="B17" s="90"/>
      <c r="C17" s="90"/>
      <c r="D17" s="91" t="s">
        <v>119</v>
      </c>
      <c r="E17" s="90"/>
      <c r="F17" s="90"/>
      <c r="G17" s="90"/>
      <c r="H17" s="90"/>
      <c r="I17" s="296" t="s">
        <v>130</v>
      </c>
    </row>
    <row r="18" spans="1:9" ht="15">
      <c r="A18" s="92" t="s">
        <v>105</v>
      </c>
      <c r="B18" s="92" t="s">
        <v>106</v>
      </c>
      <c r="C18" s="92" t="s">
        <v>9</v>
      </c>
      <c r="D18" s="92" t="s">
        <v>107</v>
      </c>
      <c r="E18" s="90"/>
      <c r="F18" s="92" t="s">
        <v>105</v>
      </c>
      <c r="G18" s="92" t="s">
        <v>106</v>
      </c>
      <c r="H18" s="92" t="s">
        <v>9</v>
      </c>
      <c r="I18" s="92" t="s">
        <v>107</v>
      </c>
    </row>
    <row r="19" spans="1:9" ht="15">
      <c r="A19" s="93">
        <v>1</v>
      </c>
      <c r="B19" s="93">
        <v>2</v>
      </c>
      <c r="C19" s="93">
        <v>3</v>
      </c>
      <c r="D19" s="93">
        <v>4</v>
      </c>
      <c r="E19" s="90"/>
      <c r="F19" s="93">
        <v>1</v>
      </c>
      <c r="G19" s="93">
        <v>2</v>
      </c>
      <c r="H19" s="93">
        <v>3</v>
      </c>
      <c r="I19" s="93">
        <v>4</v>
      </c>
    </row>
    <row r="20" spans="1:9" ht="15">
      <c r="A20" s="95">
        <v>1</v>
      </c>
      <c r="B20" s="95" t="s">
        <v>120</v>
      </c>
      <c r="C20" s="95"/>
      <c r="D20" s="94">
        <f>'табл 5-6'!D28+'табл 5-6'!D16</f>
        <v>111</v>
      </c>
      <c r="E20" s="90"/>
      <c r="F20" s="95">
        <v>1</v>
      </c>
      <c r="G20" s="95" t="s">
        <v>120</v>
      </c>
      <c r="H20" s="95"/>
      <c r="I20" s="94">
        <v>0</v>
      </c>
    </row>
    <row r="21" spans="1:9" ht="15">
      <c r="A21" s="107"/>
      <c r="B21" s="107" t="s">
        <v>121</v>
      </c>
      <c r="C21" s="107" t="s">
        <v>109</v>
      </c>
      <c r="D21" s="99"/>
      <c r="E21" s="90"/>
      <c r="F21" s="107"/>
      <c r="G21" s="107" t="s">
        <v>121</v>
      </c>
      <c r="H21" s="107" t="s">
        <v>109</v>
      </c>
      <c r="I21" s="99"/>
    </row>
    <row r="22" spans="1:9" ht="15">
      <c r="A22" s="95">
        <v>2</v>
      </c>
      <c r="B22" s="95" t="s">
        <v>122</v>
      </c>
      <c r="C22" s="95"/>
      <c r="D22" s="96">
        <f>'фактич.действия'!G30</f>
        <v>3349.86297744</v>
      </c>
      <c r="E22" s="90"/>
      <c r="F22" s="95">
        <v>2</v>
      </c>
      <c r="G22" s="95" t="s">
        <v>388</v>
      </c>
      <c r="H22" s="95"/>
      <c r="I22" s="96">
        <f>'Осмотр Ростехнадзором'!G20</f>
        <v>1499.2180492800003</v>
      </c>
    </row>
    <row r="23" spans="1:9" ht="15">
      <c r="A23" s="107"/>
      <c r="B23" s="107" t="s">
        <v>123</v>
      </c>
      <c r="C23" s="107" t="s">
        <v>4</v>
      </c>
      <c r="D23" s="108"/>
      <c r="E23" s="90"/>
      <c r="F23" s="107"/>
      <c r="G23" s="107" t="s">
        <v>389</v>
      </c>
      <c r="H23" s="107" t="s">
        <v>4</v>
      </c>
      <c r="I23" s="108"/>
    </row>
    <row r="24" spans="1:9" ht="15">
      <c r="A24" s="107"/>
      <c r="B24" s="107" t="s">
        <v>124</v>
      </c>
      <c r="C24" s="107"/>
      <c r="D24" s="108"/>
      <c r="E24" s="90"/>
      <c r="F24" s="107"/>
      <c r="G24" s="107" t="s">
        <v>392</v>
      </c>
      <c r="H24" s="107"/>
      <c r="I24" s="108"/>
    </row>
    <row r="25" spans="1:9" ht="15">
      <c r="A25" s="95">
        <v>3</v>
      </c>
      <c r="B25" s="95" t="s">
        <v>114</v>
      </c>
      <c r="C25" s="95"/>
      <c r="D25" s="96"/>
      <c r="E25" s="90"/>
      <c r="F25" s="95">
        <v>3</v>
      </c>
      <c r="G25" s="95" t="s">
        <v>114</v>
      </c>
      <c r="H25" s="95"/>
      <c r="I25" s="96"/>
    </row>
    <row r="26" spans="1:9" ht="15">
      <c r="A26" s="109"/>
      <c r="B26" s="107" t="s">
        <v>125</v>
      </c>
      <c r="C26" s="107" t="s">
        <v>4</v>
      </c>
      <c r="D26" s="108">
        <f>D20*D22</f>
        <v>371834.79049584</v>
      </c>
      <c r="E26" s="90"/>
      <c r="F26" s="109"/>
      <c r="G26" s="107" t="s">
        <v>390</v>
      </c>
      <c r="H26" s="107" t="s">
        <v>4</v>
      </c>
      <c r="I26" s="108">
        <f>I20*I22</f>
        <v>0</v>
      </c>
    </row>
    <row r="27" spans="1:9" ht="15">
      <c r="A27" s="110"/>
      <c r="B27" s="97" t="s">
        <v>126</v>
      </c>
      <c r="C27" s="110"/>
      <c r="D27" s="111"/>
      <c r="E27" s="90"/>
      <c r="F27" s="110"/>
      <c r="G27" s="97" t="s">
        <v>391</v>
      </c>
      <c r="H27" s="110"/>
      <c r="I27" s="111"/>
    </row>
    <row r="28" spans="1:9" ht="15">
      <c r="A28" s="90"/>
      <c r="B28" s="90"/>
      <c r="C28" s="90"/>
      <c r="D28" s="90"/>
      <c r="E28" s="90"/>
      <c r="F28" s="90"/>
      <c r="G28" s="90"/>
      <c r="H28" s="90"/>
      <c r="I28" s="90"/>
    </row>
    <row r="29" spans="1:9" ht="15">
      <c r="A29" s="90"/>
      <c r="B29" s="90"/>
      <c r="C29" s="90"/>
      <c r="D29" s="90"/>
      <c r="E29" s="90"/>
      <c r="F29" s="90"/>
      <c r="G29" s="90" t="s">
        <v>127</v>
      </c>
      <c r="H29" s="90"/>
      <c r="I29" s="90"/>
    </row>
    <row r="30" spans="1:9" ht="15">
      <c r="A30" s="90"/>
      <c r="B30" s="90" t="s">
        <v>128</v>
      </c>
      <c r="C30" s="90"/>
      <c r="D30" s="90" t="s">
        <v>71</v>
      </c>
      <c r="E30" s="90"/>
      <c r="F30" s="90"/>
      <c r="G30" s="90"/>
      <c r="H30" s="90"/>
      <c r="I30" s="90"/>
    </row>
    <row r="31" spans="1:9" ht="15">
      <c r="A31" s="90"/>
      <c r="B31" s="90"/>
      <c r="C31" s="90"/>
      <c r="D31" s="90"/>
      <c r="E31" s="90"/>
      <c r="F31" s="90"/>
      <c r="G31" s="90"/>
      <c r="H31" s="90"/>
      <c r="I31" s="90"/>
    </row>
  </sheetData>
  <sheetProtection/>
  <mergeCells count="7">
    <mergeCell ref="A1:D1"/>
    <mergeCell ref="F1:I1"/>
    <mergeCell ref="A2:D2"/>
    <mergeCell ref="F2:I2"/>
    <mergeCell ref="A14:D14"/>
    <mergeCell ref="A15:D15"/>
    <mergeCell ref="F14:L15"/>
  </mergeCells>
  <printOptions/>
  <pageMargins left="0.7086614173228347" right="0.1968503937007874" top="0.7480314960629921" bottom="0.7480314960629921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7.125" style="0" customWidth="1"/>
    <col min="2" max="2" width="27.75390625" style="0" customWidth="1"/>
    <col min="3" max="3" width="15.25390625" style="0" customWidth="1"/>
    <col min="4" max="4" width="14.25390625" style="0" customWidth="1"/>
    <col min="5" max="5" width="13.125" style="0" customWidth="1"/>
    <col min="6" max="6" width="13.625" style="0" customWidth="1"/>
    <col min="7" max="7" width="12.875" style="0" customWidth="1"/>
    <col min="8" max="8" width="12.00390625" style="0" customWidth="1"/>
    <col min="9" max="9" width="12.25390625" style="0" customWidth="1"/>
  </cols>
  <sheetData>
    <row r="1" spans="1:9" ht="15.75">
      <c r="A1" s="112" t="s">
        <v>129</v>
      </c>
      <c r="B1" s="90"/>
      <c r="C1" s="90"/>
      <c r="D1" s="90"/>
      <c r="E1" s="90"/>
      <c r="F1" s="90"/>
      <c r="G1" s="90"/>
      <c r="H1" s="90"/>
      <c r="I1" s="90"/>
    </row>
    <row r="2" spans="1:9" ht="15.75">
      <c r="A2" s="112" t="s">
        <v>233</v>
      </c>
      <c r="B2" s="112"/>
      <c r="C2" s="112"/>
      <c r="D2" s="112"/>
      <c r="E2" s="90"/>
      <c r="F2" s="90"/>
      <c r="G2" s="90"/>
      <c r="H2" s="90"/>
      <c r="I2" s="90"/>
    </row>
    <row r="3" spans="1:9" ht="15">
      <c r="A3" s="90"/>
      <c r="B3" s="90"/>
      <c r="C3" s="90"/>
      <c r="D3" s="90"/>
      <c r="E3" s="90"/>
      <c r="F3" s="90"/>
      <c r="G3" s="90"/>
      <c r="H3" s="90"/>
      <c r="I3" s="91" t="s">
        <v>130</v>
      </c>
    </row>
    <row r="4" spans="1:9" ht="15">
      <c r="A4" s="113"/>
      <c r="B4" s="113"/>
      <c r="C4" s="113"/>
      <c r="D4" s="93" t="s">
        <v>131</v>
      </c>
      <c r="E4" s="93" t="s">
        <v>132</v>
      </c>
      <c r="F4" s="93" t="s">
        <v>133</v>
      </c>
      <c r="G4" s="93" t="s">
        <v>132</v>
      </c>
      <c r="H4" s="93" t="s">
        <v>133</v>
      </c>
      <c r="I4" s="113" t="s">
        <v>134</v>
      </c>
    </row>
    <row r="5" spans="1:9" ht="15">
      <c r="A5" s="114" t="s">
        <v>105</v>
      </c>
      <c r="B5" s="99" t="s">
        <v>135</v>
      </c>
      <c r="C5" s="114" t="s">
        <v>136</v>
      </c>
      <c r="D5" s="102"/>
      <c r="E5" s="104" t="s">
        <v>137</v>
      </c>
      <c r="F5" s="104" t="s">
        <v>138</v>
      </c>
      <c r="G5" s="104" t="s">
        <v>137</v>
      </c>
      <c r="H5" s="104" t="s">
        <v>138</v>
      </c>
      <c r="I5" s="102" t="s">
        <v>138</v>
      </c>
    </row>
    <row r="6" spans="1:9" ht="15">
      <c r="A6" s="114"/>
      <c r="B6" s="114"/>
      <c r="C6" s="114" t="s">
        <v>139</v>
      </c>
      <c r="D6" s="115"/>
      <c r="E6" s="116"/>
      <c r="F6" s="116"/>
      <c r="G6" s="116"/>
      <c r="H6" s="116"/>
      <c r="I6" s="117"/>
    </row>
    <row r="7" spans="1:9" ht="15">
      <c r="A7" s="102"/>
      <c r="B7" s="102"/>
      <c r="C7" s="102"/>
      <c r="D7" s="92" t="s">
        <v>140</v>
      </c>
      <c r="E7" s="92" t="s">
        <v>140</v>
      </c>
      <c r="F7" s="92" t="s">
        <v>140</v>
      </c>
      <c r="G7" s="92" t="s">
        <v>141</v>
      </c>
      <c r="H7" s="92" t="s">
        <v>141</v>
      </c>
      <c r="I7" s="92" t="s">
        <v>141</v>
      </c>
    </row>
    <row r="8" spans="1:9" ht="15">
      <c r="A8" s="92">
        <v>1</v>
      </c>
      <c r="B8" s="92">
        <v>2</v>
      </c>
      <c r="C8" s="92">
        <v>3</v>
      </c>
      <c r="D8" s="92">
        <v>4</v>
      </c>
      <c r="E8" s="92">
        <v>6</v>
      </c>
      <c r="F8" s="92">
        <v>7</v>
      </c>
      <c r="G8" s="92">
        <v>9</v>
      </c>
      <c r="H8" s="92">
        <v>10</v>
      </c>
      <c r="I8" s="92">
        <v>11</v>
      </c>
    </row>
    <row r="9" spans="1:9" ht="15">
      <c r="A9" s="92">
        <v>1</v>
      </c>
      <c r="B9" s="118" t="s">
        <v>142</v>
      </c>
      <c r="C9" s="119">
        <f>SUM(D9:I9)</f>
        <v>349961.813357184</v>
      </c>
      <c r="D9" s="119">
        <f>'выдача техусл'!G24*'табл 5-6'!D28</f>
        <v>315280.9129344</v>
      </c>
      <c r="E9" s="119">
        <f>'выдача техусл'!G24*'табл 5-6'!D11</f>
        <v>15764.045646720002</v>
      </c>
      <c r="F9" s="96">
        <f>'выдача техусл'!G24*'табл 5-6'!D12</f>
        <v>3152.809129344</v>
      </c>
      <c r="G9" s="119">
        <f>'выдача техусл'!G24*'табл 5-6'!D13</f>
        <v>12611.236517376</v>
      </c>
      <c r="H9" s="120">
        <f>'выдача техусл'!G24*'табл 5-6'!D14</f>
        <v>3152.809129344</v>
      </c>
      <c r="I9" s="120">
        <v>0</v>
      </c>
    </row>
    <row r="10" spans="1:9" ht="15">
      <c r="A10" s="93">
        <v>2</v>
      </c>
      <c r="B10" s="113" t="s">
        <v>143</v>
      </c>
      <c r="C10" s="96"/>
      <c r="D10" s="96"/>
      <c r="E10" s="121"/>
      <c r="F10" s="96"/>
      <c r="G10" s="96"/>
      <c r="H10" s="122"/>
      <c r="I10" s="122">
        <v>0</v>
      </c>
    </row>
    <row r="11" spans="1:9" ht="15">
      <c r="A11" s="104"/>
      <c r="B11" s="110" t="s">
        <v>144</v>
      </c>
      <c r="C11" s="98">
        <f>SUM(D11:I11)</f>
        <v>293337.7422796799</v>
      </c>
      <c r="D11" s="98">
        <f>'проверка выполнения техусловий'!G26*'табл 5-6'!D28</f>
        <v>264268.23628799996</v>
      </c>
      <c r="E11" s="123">
        <f>'проверка выполнения техусловий'!G26*'табл 5-6'!D11</f>
        <v>13213.411814399999</v>
      </c>
      <c r="F11" s="98">
        <f>'проверка выполнения техусловий'!G26*'табл 5-6'!D12</f>
        <v>2642.68236288</v>
      </c>
      <c r="G11" s="98">
        <f>'проверка выполнения техусловий'!G26*'табл 5-6'!D13</f>
        <v>10570.72945152</v>
      </c>
      <c r="H11" s="111">
        <f>'проверка выполнения техусловий'!G26*'табл 5-6'!D14</f>
        <v>2642.68236288</v>
      </c>
      <c r="I11" s="111">
        <v>0</v>
      </c>
    </row>
    <row r="12" spans="1:9" ht="15">
      <c r="A12" s="93">
        <v>3</v>
      </c>
      <c r="B12" s="113" t="s">
        <v>145</v>
      </c>
      <c r="C12" s="96"/>
      <c r="D12" s="96"/>
      <c r="E12" s="96"/>
      <c r="F12" s="96"/>
      <c r="G12" s="96"/>
      <c r="H12" s="122"/>
      <c r="I12" s="122">
        <v>0</v>
      </c>
    </row>
    <row r="13" spans="1:9" ht="15">
      <c r="A13" s="104"/>
      <c r="B13" s="102" t="s">
        <v>126</v>
      </c>
      <c r="C13" s="98">
        <f>SUM(D13:I13)</f>
        <v>371834.7904958401</v>
      </c>
      <c r="D13" s="98">
        <f>'фактич.действия'!G30*'табл 5-6'!D28</f>
        <v>334986.29774400004</v>
      </c>
      <c r="E13" s="98">
        <f>'фактич.действия'!G30*'табл 5-6'!D11</f>
        <v>16749.314887200002</v>
      </c>
      <c r="F13" s="98">
        <f>'фактич.действия'!G30*'табл 5-6'!D12</f>
        <v>3349.86297744</v>
      </c>
      <c r="G13" s="98">
        <f>'фактич.действия'!G30*'табл 5-6'!D13</f>
        <v>13399.45190976</v>
      </c>
      <c r="H13" s="111">
        <f>'фактич.действия'!G30*'табл 5-6'!D14</f>
        <v>3349.86297744</v>
      </c>
      <c r="I13" s="111">
        <v>0</v>
      </c>
    </row>
    <row r="14" spans="1:9" ht="15">
      <c r="A14" s="92">
        <v>4</v>
      </c>
      <c r="B14" s="118" t="s">
        <v>146</v>
      </c>
      <c r="C14" s="98">
        <f>SUM(D14:I14)</f>
        <v>1015134.3461327042</v>
      </c>
      <c r="D14" s="119">
        <f>D9+D11+D13</f>
        <v>914535.4469664001</v>
      </c>
      <c r="E14" s="119">
        <f>E9+E11+E13</f>
        <v>45726.77234832</v>
      </c>
      <c r="F14" s="119">
        <f>F9+F11+F13</f>
        <v>9145.354469664</v>
      </c>
      <c r="G14" s="119">
        <f>G9+G11+G13</f>
        <v>36581.417878656</v>
      </c>
      <c r="H14" s="120">
        <f>H9+H11+H13</f>
        <v>9145.354469664</v>
      </c>
      <c r="I14" s="120">
        <v>0</v>
      </c>
    </row>
    <row r="15" spans="1:9" ht="15">
      <c r="A15" s="124"/>
      <c r="B15" s="90"/>
      <c r="C15" s="90"/>
      <c r="D15" s="90"/>
      <c r="E15" s="90"/>
      <c r="F15" s="90"/>
      <c r="G15" s="90"/>
      <c r="H15" s="90"/>
      <c r="I15" s="90"/>
    </row>
    <row r="16" spans="1:9" ht="15">
      <c r="A16" s="124"/>
      <c r="B16" s="90"/>
      <c r="C16" s="90"/>
      <c r="D16" s="90"/>
      <c r="E16" s="90"/>
      <c r="F16" s="90"/>
      <c r="G16" s="90"/>
      <c r="H16" s="90"/>
      <c r="I16" s="90"/>
    </row>
    <row r="17" spans="1:9" ht="15">
      <c r="A17" s="124"/>
      <c r="B17" s="90" t="s">
        <v>147</v>
      </c>
      <c r="C17" s="90"/>
      <c r="D17" s="90"/>
      <c r="E17" s="321" t="s">
        <v>71</v>
      </c>
      <c r="F17" s="321"/>
      <c r="G17" s="90"/>
      <c r="H17" s="90"/>
      <c r="I17" s="90"/>
    </row>
  </sheetData>
  <sheetProtection/>
  <mergeCells count="1">
    <mergeCell ref="E17:F1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6">
      <selection activeCell="D53" sqref="D53"/>
    </sheetView>
  </sheetViews>
  <sheetFormatPr defaultColWidth="9.00390625" defaultRowHeight="12.75"/>
  <cols>
    <col min="2" max="2" width="14.625" style="0" customWidth="1"/>
    <col min="4" max="4" width="13.125" style="0" customWidth="1"/>
    <col min="5" max="5" width="12.75390625" style="0" customWidth="1"/>
    <col min="6" max="6" width="11.625" style="0" customWidth="1"/>
    <col min="7" max="7" width="11.875" style="0" customWidth="1"/>
    <col min="8" max="8" width="10.125" style="0" customWidth="1"/>
    <col min="9" max="9" width="11.625" style="0" customWidth="1"/>
    <col min="10" max="10" width="14.75390625" style="0" customWidth="1"/>
    <col min="11" max="11" width="12.25390625" style="0" customWidth="1"/>
    <col min="12" max="12" width="11.25390625" style="0" customWidth="1"/>
  </cols>
  <sheetData>
    <row r="1" spans="1:12" ht="15.75">
      <c r="A1" s="112" t="s">
        <v>228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125"/>
    </row>
    <row r="2" spans="1:12" ht="15.75">
      <c r="A2" s="112"/>
      <c r="B2" s="90"/>
      <c r="C2" s="90"/>
      <c r="D2" s="112" t="s">
        <v>101</v>
      </c>
      <c r="E2" s="112"/>
      <c r="F2" s="112"/>
      <c r="G2" s="112"/>
      <c r="H2" s="112"/>
      <c r="I2" s="90"/>
      <c r="J2" s="90"/>
      <c r="K2" s="90"/>
      <c r="L2" s="125"/>
    </row>
    <row r="3" spans="1:12" ht="15">
      <c r="A3" s="90"/>
      <c r="B3" s="90"/>
      <c r="C3" s="90"/>
      <c r="D3" s="90"/>
      <c r="E3" s="90"/>
      <c r="F3" s="90"/>
      <c r="G3" s="90"/>
      <c r="H3" s="90"/>
      <c r="I3" s="90"/>
      <c r="J3" s="91" t="s">
        <v>148</v>
      </c>
      <c r="K3" s="90"/>
      <c r="L3" s="125"/>
    </row>
    <row r="4" spans="1:12" ht="12.75">
      <c r="A4" s="126" t="s">
        <v>105</v>
      </c>
      <c r="B4" s="126" t="s">
        <v>149</v>
      </c>
      <c r="C4" s="126" t="s">
        <v>150</v>
      </c>
      <c r="D4" s="126" t="s">
        <v>151</v>
      </c>
      <c r="E4" s="126" t="s">
        <v>152</v>
      </c>
      <c r="F4" s="322" t="s">
        <v>153</v>
      </c>
      <c r="G4" s="323"/>
      <c r="H4" s="323"/>
      <c r="I4" s="126" t="s">
        <v>154</v>
      </c>
      <c r="J4" s="128" t="s">
        <v>155</v>
      </c>
      <c r="K4" s="129"/>
      <c r="L4" s="130"/>
    </row>
    <row r="5" spans="1:12" ht="12.75">
      <c r="A5" s="131"/>
      <c r="B5" s="131" t="s">
        <v>156</v>
      </c>
      <c r="C5" s="131" t="s">
        <v>157</v>
      </c>
      <c r="D5" s="131" t="s">
        <v>158</v>
      </c>
      <c r="E5" s="131" t="s">
        <v>159</v>
      </c>
      <c r="F5" s="127" t="s">
        <v>160</v>
      </c>
      <c r="G5" s="127"/>
      <c r="H5" s="127"/>
      <c r="I5" s="131" t="s">
        <v>161</v>
      </c>
      <c r="J5" s="129" t="s">
        <v>162</v>
      </c>
      <c r="K5" s="129"/>
      <c r="L5" s="130"/>
    </row>
    <row r="6" spans="1:12" ht="12.75">
      <c r="A6" s="131"/>
      <c r="B6" s="131" t="s">
        <v>163</v>
      </c>
      <c r="C6" s="131" t="s">
        <v>164</v>
      </c>
      <c r="D6" s="131" t="s">
        <v>165</v>
      </c>
      <c r="E6" s="131" t="s">
        <v>166</v>
      </c>
      <c r="F6" s="132" t="s">
        <v>167</v>
      </c>
      <c r="G6" s="127"/>
      <c r="H6" s="133"/>
      <c r="I6" s="131" t="s">
        <v>168</v>
      </c>
      <c r="J6" s="129" t="s">
        <v>169</v>
      </c>
      <c r="K6" s="129"/>
      <c r="L6" s="130"/>
    </row>
    <row r="7" spans="1:12" ht="12.75">
      <c r="A7" s="131"/>
      <c r="B7" s="131"/>
      <c r="C7" s="131"/>
      <c r="D7" s="131" t="s">
        <v>170</v>
      </c>
      <c r="E7" s="131" t="s">
        <v>171</v>
      </c>
      <c r="F7" s="134" t="s">
        <v>172</v>
      </c>
      <c r="G7" s="131" t="s">
        <v>173</v>
      </c>
      <c r="H7" s="131" t="s">
        <v>174</v>
      </c>
      <c r="I7" s="131" t="s">
        <v>175</v>
      </c>
      <c r="J7" s="129" t="s">
        <v>176</v>
      </c>
      <c r="K7" s="129"/>
      <c r="L7" s="130"/>
    </row>
    <row r="8" spans="1:12" ht="12.75">
      <c r="A8" s="131"/>
      <c r="B8" s="131"/>
      <c r="C8" s="131"/>
      <c r="D8" s="131"/>
      <c r="E8" s="131"/>
      <c r="F8" s="134" t="s">
        <v>177</v>
      </c>
      <c r="G8" s="131" t="s">
        <v>178</v>
      </c>
      <c r="H8" s="131" t="s">
        <v>179</v>
      </c>
      <c r="I8" s="131"/>
      <c r="J8" s="135" t="s">
        <v>180</v>
      </c>
      <c r="K8" s="136"/>
      <c r="L8" s="130"/>
    </row>
    <row r="9" spans="1:12" ht="12.75">
      <c r="A9" s="137"/>
      <c r="B9" s="137"/>
      <c r="C9" s="137"/>
      <c r="D9" s="137"/>
      <c r="E9" s="137"/>
      <c r="F9" s="138"/>
      <c r="G9" s="137"/>
      <c r="H9" s="137"/>
      <c r="I9" s="137"/>
      <c r="J9" s="139" t="s">
        <v>181</v>
      </c>
      <c r="K9" s="129"/>
      <c r="L9" s="130"/>
    </row>
    <row r="10" spans="1:12" ht="15">
      <c r="A10" s="140">
        <v>1</v>
      </c>
      <c r="B10" s="140">
        <v>2</v>
      </c>
      <c r="C10" s="140">
        <v>3</v>
      </c>
      <c r="D10" s="140">
        <v>4</v>
      </c>
      <c r="E10" s="140">
        <v>5</v>
      </c>
      <c r="F10" s="140">
        <v>6</v>
      </c>
      <c r="G10" s="140">
        <v>7</v>
      </c>
      <c r="H10" s="140">
        <v>9</v>
      </c>
      <c r="I10" s="140">
        <v>13</v>
      </c>
      <c r="J10" s="140">
        <v>14</v>
      </c>
      <c r="K10" s="141"/>
      <c r="L10" s="142"/>
    </row>
    <row r="11" spans="1:12" ht="12.75">
      <c r="A11" s="140">
        <v>1</v>
      </c>
      <c r="B11" s="143" t="s">
        <v>182</v>
      </c>
      <c r="C11" s="140" t="s">
        <v>183</v>
      </c>
      <c r="D11" s="144">
        <v>5</v>
      </c>
      <c r="E11" s="145">
        <v>167</v>
      </c>
      <c r="F11" s="146">
        <f>'табл 4'!E14</f>
        <v>45726.77234832</v>
      </c>
      <c r="G11" s="146"/>
      <c r="H11" s="146">
        <f>F11+G11</f>
        <v>45726.77234832</v>
      </c>
      <c r="I11" s="147"/>
      <c r="J11" s="148">
        <f>ROUND(H11/E11*(1+I11),3)</f>
        <v>273.813</v>
      </c>
      <c r="K11" s="149"/>
      <c r="L11" s="150"/>
    </row>
    <row r="12" spans="1:12" ht="12.75">
      <c r="A12" s="140">
        <v>2</v>
      </c>
      <c r="B12" s="143" t="s">
        <v>184</v>
      </c>
      <c r="C12" s="140" t="s">
        <v>183</v>
      </c>
      <c r="D12" s="144">
        <v>1</v>
      </c>
      <c r="E12" s="145">
        <v>151</v>
      </c>
      <c r="F12" s="146">
        <f>'табл 4'!F14</f>
        <v>9145.354469664</v>
      </c>
      <c r="G12" s="146"/>
      <c r="H12" s="146">
        <f>F12+G12</f>
        <v>9145.354469664</v>
      </c>
      <c r="I12" s="147"/>
      <c r="J12" s="148">
        <f>ROUND(H12/E12*(1+I12),3)</f>
        <v>60.565</v>
      </c>
      <c r="K12" s="149"/>
      <c r="L12" s="150"/>
    </row>
    <row r="13" spans="1:12" ht="12.75">
      <c r="A13" s="140">
        <v>3</v>
      </c>
      <c r="B13" s="143" t="s">
        <v>182</v>
      </c>
      <c r="C13" s="151" t="s">
        <v>185</v>
      </c>
      <c r="D13" s="144">
        <v>4</v>
      </c>
      <c r="E13" s="145">
        <v>135</v>
      </c>
      <c r="F13" s="146">
        <f>'табл 4'!G14</f>
        <v>36581.417878656</v>
      </c>
      <c r="G13" s="146"/>
      <c r="H13" s="146">
        <f>F13+G13</f>
        <v>36581.417878656</v>
      </c>
      <c r="I13" s="152"/>
      <c r="J13" s="148">
        <f>ROUND(H13/E13*(1+I13),3)</f>
        <v>270.973</v>
      </c>
      <c r="K13" s="149"/>
      <c r="L13" s="150"/>
    </row>
    <row r="14" spans="1:12" ht="12.75">
      <c r="A14" s="140">
        <v>4</v>
      </c>
      <c r="B14" s="143" t="s">
        <v>184</v>
      </c>
      <c r="C14" s="151" t="s">
        <v>185</v>
      </c>
      <c r="D14" s="144">
        <v>1</v>
      </c>
      <c r="E14" s="145">
        <v>212</v>
      </c>
      <c r="F14" s="146">
        <f>'табл 4'!H14</f>
        <v>9145.354469664</v>
      </c>
      <c r="G14" s="146" t="s">
        <v>186</v>
      </c>
      <c r="H14" s="146">
        <f>F14</f>
        <v>9145.354469664</v>
      </c>
      <c r="I14" s="147"/>
      <c r="J14" s="148">
        <f>ROUND(H14/E14*(1+I14),3)</f>
        <v>43.138</v>
      </c>
      <c r="K14" s="149"/>
      <c r="L14" s="150"/>
    </row>
    <row r="15" spans="1:12" ht="12.75">
      <c r="A15" s="140">
        <v>5</v>
      </c>
      <c r="B15" s="143" t="s">
        <v>187</v>
      </c>
      <c r="C15" s="151" t="s">
        <v>185</v>
      </c>
      <c r="D15" s="152"/>
      <c r="E15" s="153"/>
      <c r="F15" s="146"/>
      <c r="G15" s="146"/>
      <c r="H15" s="146"/>
      <c r="I15" s="152"/>
      <c r="J15" s="154"/>
      <c r="K15" s="149"/>
      <c r="L15" s="150"/>
    </row>
    <row r="16" spans="1:12" ht="12.75">
      <c r="A16" s="140"/>
      <c r="B16" s="143" t="s">
        <v>188</v>
      </c>
      <c r="C16" s="140" t="s">
        <v>189</v>
      </c>
      <c r="D16" s="155">
        <f>SUM(D11:D15)</f>
        <v>11</v>
      </c>
      <c r="E16" s="153">
        <f>SUM(E11:E15)</f>
        <v>665</v>
      </c>
      <c r="F16" s="146">
        <f>SUM(F11:F15)</f>
        <v>100598.899166304</v>
      </c>
      <c r="G16" s="146"/>
      <c r="H16" s="146">
        <f>SUM(F16:G16)</f>
        <v>100598.899166304</v>
      </c>
      <c r="I16" s="140" t="s">
        <v>189</v>
      </c>
      <c r="J16" s="156">
        <f>H16/E16</f>
        <v>151.27654009970527</v>
      </c>
      <c r="K16" s="157"/>
      <c r="L16" s="158"/>
    </row>
    <row r="17" spans="1:12" ht="1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159"/>
    </row>
    <row r="18" spans="1:12" ht="15.75">
      <c r="A18" s="112" t="s">
        <v>229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125"/>
    </row>
    <row r="19" spans="1:12" ht="15">
      <c r="A19" s="90"/>
      <c r="B19" s="90"/>
      <c r="C19" s="90"/>
      <c r="D19" s="90"/>
      <c r="E19" s="90"/>
      <c r="F19" s="90"/>
      <c r="G19" s="90"/>
      <c r="H19" s="90"/>
      <c r="I19" s="90"/>
      <c r="J19" s="91" t="s">
        <v>190</v>
      </c>
      <c r="K19" s="90"/>
      <c r="L19" s="125"/>
    </row>
    <row r="20" spans="1:12" ht="12.75">
      <c r="A20" s="126" t="s">
        <v>105</v>
      </c>
      <c r="B20" s="126" t="s">
        <v>149</v>
      </c>
      <c r="C20" s="126" t="s">
        <v>150</v>
      </c>
      <c r="D20" s="126" t="s">
        <v>151</v>
      </c>
      <c r="E20" s="126" t="s">
        <v>152</v>
      </c>
      <c r="F20" s="322" t="s">
        <v>153</v>
      </c>
      <c r="G20" s="323"/>
      <c r="H20" s="323"/>
      <c r="I20" s="126" t="s">
        <v>154</v>
      </c>
      <c r="J20" s="126" t="s">
        <v>191</v>
      </c>
      <c r="K20" s="126" t="s">
        <v>155</v>
      </c>
      <c r="L20" s="160" t="s">
        <v>192</v>
      </c>
    </row>
    <row r="21" spans="1:12" ht="12.75">
      <c r="A21" s="131"/>
      <c r="B21" s="131" t="s">
        <v>156</v>
      </c>
      <c r="C21" s="131" t="s">
        <v>157</v>
      </c>
      <c r="D21" s="131" t="s">
        <v>158</v>
      </c>
      <c r="E21" s="131" t="s">
        <v>159</v>
      </c>
      <c r="F21" s="127" t="s">
        <v>160</v>
      </c>
      <c r="G21" s="127"/>
      <c r="H21" s="127"/>
      <c r="I21" s="131" t="s">
        <v>161</v>
      </c>
      <c r="J21" s="131" t="s">
        <v>162</v>
      </c>
      <c r="K21" s="131" t="s">
        <v>162</v>
      </c>
      <c r="L21" s="161" t="s">
        <v>193</v>
      </c>
    </row>
    <row r="22" spans="1:12" ht="12.75">
      <c r="A22" s="131"/>
      <c r="B22" s="131" t="s">
        <v>163</v>
      </c>
      <c r="C22" s="131" t="s">
        <v>164</v>
      </c>
      <c r="D22" s="131" t="s">
        <v>165</v>
      </c>
      <c r="E22" s="131" t="s">
        <v>166</v>
      </c>
      <c r="F22" s="132" t="s">
        <v>167</v>
      </c>
      <c r="G22" s="127"/>
      <c r="H22" s="133"/>
      <c r="I22" s="131" t="s">
        <v>168</v>
      </c>
      <c r="J22" s="131" t="s">
        <v>194</v>
      </c>
      <c r="K22" s="131" t="s">
        <v>195</v>
      </c>
      <c r="L22" s="161" t="s">
        <v>196</v>
      </c>
    </row>
    <row r="23" spans="1:12" ht="12.75">
      <c r="A23" s="131"/>
      <c r="B23" s="131"/>
      <c r="C23" s="131"/>
      <c r="D23" s="131" t="s">
        <v>170</v>
      </c>
      <c r="E23" s="131" t="s">
        <v>171</v>
      </c>
      <c r="F23" s="134" t="s">
        <v>172</v>
      </c>
      <c r="G23" s="131" t="s">
        <v>173</v>
      </c>
      <c r="H23" s="131" t="s">
        <v>174</v>
      </c>
      <c r="I23" s="131" t="s">
        <v>175</v>
      </c>
      <c r="J23" s="131" t="s">
        <v>197</v>
      </c>
      <c r="K23" s="131" t="s">
        <v>4</v>
      </c>
      <c r="L23" s="161" t="s">
        <v>4</v>
      </c>
    </row>
    <row r="24" spans="1:12" ht="12.75">
      <c r="A24" s="131"/>
      <c r="B24" s="131"/>
      <c r="C24" s="131"/>
      <c r="D24" s="131"/>
      <c r="E24" s="131"/>
      <c r="F24" s="134" t="s">
        <v>198</v>
      </c>
      <c r="G24" s="131" t="s">
        <v>178</v>
      </c>
      <c r="H24" s="131" t="s">
        <v>179</v>
      </c>
      <c r="I24" s="131"/>
      <c r="J24" s="131" t="s">
        <v>199</v>
      </c>
      <c r="K24" s="131" t="s">
        <v>200</v>
      </c>
      <c r="L24" s="161"/>
    </row>
    <row r="25" spans="1:12" ht="12.75">
      <c r="A25" s="137"/>
      <c r="B25" s="137"/>
      <c r="C25" s="137"/>
      <c r="D25" s="137"/>
      <c r="E25" s="137"/>
      <c r="F25" s="138" t="s">
        <v>201</v>
      </c>
      <c r="G25" s="137"/>
      <c r="H25" s="137"/>
      <c r="I25" s="137"/>
      <c r="J25" s="137" t="s">
        <v>202</v>
      </c>
      <c r="K25" s="137" t="s">
        <v>203</v>
      </c>
      <c r="L25" s="162"/>
    </row>
    <row r="26" spans="1:12" ht="12.75">
      <c r="A26" s="163">
        <v>1</v>
      </c>
      <c r="B26" s="163">
        <v>2</v>
      </c>
      <c r="C26" s="163">
        <v>3</v>
      </c>
      <c r="D26" s="163">
        <v>4</v>
      </c>
      <c r="E26" s="163">
        <v>5</v>
      </c>
      <c r="F26" s="163">
        <v>6</v>
      </c>
      <c r="G26" s="163">
        <v>7</v>
      </c>
      <c r="H26" s="163">
        <v>9</v>
      </c>
      <c r="I26" s="163">
        <v>13</v>
      </c>
      <c r="J26" s="163">
        <v>14</v>
      </c>
      <c r="K26" s="140">
        <v>15</v>
      </c>
      <c r="L26" s="164">
        <v>16</v>
      </c>
    </row>
    <row r="27" spans="1:12" ht="12.75">
      <c r="A27" s="165">
        <v>1</v>
      </c>
      <c r="B27" s="166" t="s">
        <v>204</v>
      </c>
      <c r="C27" s="167"/>
      <c r="D27" s="168"/>
      <c r="E27" s="166"/>
      <c r="F27" s="169"/>
      <c r="G27" s="168"/>
      <c r="H27" s="166"/>
      <c r="I27" s="166"/>
      <c r="J27" s="169"/>
      <c r="K27" s="170"/>
      <c r="L27" s="171"/>
    </row>
    <row r="28" spans="1:12" ht="12.75">
      <c r="A28" s="172"/>
      <c r="B28" s="147" t="s">
        <v>205</v>
      </c>
      <c r="C28" s="173" t="s">
        <v>183</v>
      </c>
      <c r="D28" s="174">
        <v>100</v>
      </c>
      <c r="E28" s="147">
        <v>320</v>
      </c>
      <c r="F28" s="175">
        <f>'табл 4'!D14</f>
        <v>914535.4469664001</v>
      </c>
      <c r="G28" s="176"/>
      <c r="H28" s="177">
        <f>F28+G28</f>
        <v>914535.4469664001</v>
      </c>
      <c r="I28" s="147"/>
      <c r="J28" s="178">
        <f>ROUND(H28/E28*(1+I28),3)</f>
        <v>2857.923</v>
      </c>
      <c r="K28" s="179">
        <v>550</v>
      </c>
      <c r="L28" s="180">
        <f>H28*(1+I28)-K28/1.18*D28</f>
        <v>867925.2774748747</v>
      </c>
    </row>
    <row r="29" spans="1:12" ht="12.75">
      <c r="A29" s="173"/>
      <c r="B29" s="181" t="s">
        <v>188</v>
      </c>
      <c r="C29" s="173" t="s">
        <v>189</v>
      </c>
      <c r="D29" s="181">
        <f>D28</f>
        <v>100</v>
      </c>
      <c r="E29" s="181">
        <f>E28</f>
        <v>320</v>
      </c>
      <c r="F29" s="175">
        <f>F28</f>
        <v>914535.4469664001</v>
      </c>
      <c r="G29" s="175"/>
      <c r="H29" s="175">
        <f>H28</f>
        <v>914535.4469664001</v>
      </c>
      <c r="I29" s="173" t="s">
        <v>189</v>
      </c>
      <c r="J29" s="173" t="s">
        <v>189</v>
      </c>
      <c r="K29" s="173" t="s">
        <v>189</v>
      </c>
      <c r="L29" s="182"/>
    </row>
    <row r="30" spans="1:12" ht="1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125"/>
    </row>
    <row r="31" spans="1:12" ht="15">
      <c r="A31" s="90"/>
      <c r="B31" s="90"/>
      <c r="C31" s="77"/>
      <c r="D31" s="77"/>
      <c r="E31" s="77"/>
      <c r="F31" s="77"/>
      <c r="G31" s="77"/>
      <c r="H31" s="90"/>
      <c r="I31" s="77"/>
      <c r="J31" s="77"/>
      <c r="K31" s="90"/>
      <c r="L31" s="125"/>
    </row>
    <row r="32" spans="1:12" ht="15">
      <c r="A32" s="90"/>
      <c r="B32" s="90"/>
      <c r="C32" s="77"/>
      <c r="D32" s="77"/>
      <c r="E32" s="77"/>
      <c r="F32" s="77"/>
      <c r="G32" s="77"/>
      <c r="H32" s="90"/>
      <c r="I32" s="90"/>
      <c r="J32" s="90"/>
      <c r="K32" s="90"/>
      <c r="L32" s="125"/>
    </row>
    <row r="33" spans="1:12" ht="15">
      <c r="A33" s="90"/>
      <c r="B33" s="90"/>
      <c r="C33" s="77"/>
      <c r="D33" s="77"/>
      <c r="E33" s="77"/>
      <c r="F33" s="77"/>
      <c r="G33" s="77"/>
      <c r="H33" s="90"/>
      <c r="I33" s="77"/>
      <c r="J33" s="77"/>
      <c r="K33" s="90"/>
      <c r="L33" s="125"/>
    </row>
  </sheetData>
  <sheetProtection/>
  <mergeCells count="2">
    <mergeCell ref="F4:H4"/>
    <mergeCell ref="F20:H20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2" sqref="A22:D27"/>
    </sheetView>
  </sheetViews>
  <sheetFormatPr defaultColWidth="9.00390625" defaultRowHeight="12.75"/>
  <cols>
    <col min="1" max="1" width="7.375" style="0" customWidth="1"/>
    <col min="2" max="2" width="65.00390625" style="0" customWidth="1"/>
    <col min="3" max="3" width="11.625" style="0" customWidth="1"/>
    <col min="4" max="4" width="20.25390625" style="0" customWidth="1"/>
  </cols>
  <sheetData>
    <row r="1" spans="1:4" ht="15.75">
      <c r="A1" s="318" t="s">
        <v>230</v>
      </c>
      <c r="B1" s="318"/>
      <c r="C1" s="318"/>
      <c r="D1" s="318"/>
    </row>
    <row r="2" spans="1:4" ht="15">
      <c r="A2" s="90"/>
      <c r="B2" s="90"/>
      <c r="C2" s="90"/>
      <c r="D2" s="90"/>
    </row>
    <row r="3" spans="1:4" ht="15">
      <c r="A3" s="90"/>
      <c r="B3" s="90"/>
      <c r="C3" s="90"/>
      <c r="D3" s="90"/>
    </row>
    <row r="4" spans="1:4" ht="15">
      <c r="A4" s="90"/>
      <c r="B4" s="90"/>
      <c r="C4" s="90"/>
      <c r="D4" s="91" t="s">
        <v>206</v>
      </c>
    </row>
    <row r="5" spans="1:4" ht="15">
      <c r="A5" s="93" t="s">
        <v>10</v>
      </c>
      <c r="B5" s="93" t="s">
        <v>207</v>
      </c>
      <c r="C5" s="93" t="s">
        <v>208</v>
      </c>
      <c r="D5" s="93" t="s">
        <v>107</v>
      </c>
    </row>
    <row r="6" spans="1:4" ht="15">
      <c r="A6" s="104"/>
      <c r="B6" s="104"/>
      <c r="C6" s="104" t="s">
        <v>209</v>
      </c>
      <c r="D6" s="104"/>
    </row>
    <row r="7" spans="1:4" ht="15">
      <c r="A7" s="92">
        <v>1</v>
      </c>
      <c r="B7" s="92">
        <v>2</v>
      </c>
      <c r="C7" s="92">
        <v>3</v>
      </c>
      <c r="D7" s="92">
        <v>4</v>
      </c>
    </row>
    <row r="8" spans="1:4" ht="15">
      <c r="A8" s="95">
        <v>1</v>
      </c>
      <c r="B8" s="113" t="s">
        <v>210</v>
      </c>
      <c r="C8" s="93"/>
      <c r="D8" s="113"/>
    </row>
    <row r="9" spans="1:4" ht="15">
      <c r="A9" s="97"/>
      <c r="B9" s="102" t="s">
        <v>211</v>
      </c>
      <c r="C9" s="104" t="s">
        <v>4</v>
      </c>
      <c r="D9" s="183">
        <v>0</v>
      </c>
    </row>
    <row r="10" spans="1:4" ht="15">
      <c r="A10" s="184" t="s">
        <v>212</v>
      </c>
      <c r="B10" s="116" t="s">
        <v>213</v>
      </c>
      <c r="C10" s="92" t="s">
        <v>4</v>
      </c>
      <c r="D10" s="185"/>
    </row>
    <row r="11" spans="1:4" ht="15">
      <c r="A11" s="92">
        <v>2</v>
      </c>
      <c r="B11" s="118" t="s">
        <v>214</v>
      </c>
      <c r="C11" s="92" t="s">
        <v>4</v>
      </c>
      <c r="D11" s="120">
        <f>D12+D13+D14+D15</f>
        <v>1015134.3461327039</v>
      </c>
    </row>
    <row r="12" spans="1:4" ht="15">
      <c r="A12" s="92" t="s">
        <v>215</v>
      </c>
      <c r="B12" s="186" t="s">
        <v>216</v>
      </c>
      <c r="C12" s="92" t="s">
        <v>4</v>
      </c>
      <c r="D12" s="120">
        <f>'табл1-3'!D10</f>
        <v>349961.813357184</v>
      </c>
    </row>
    <row r="13" spans="1:4" ht="15">
      <c r="A13" s="92" t="s">
        <v>217</v>
      </c>
      <c r="B13" s="186" t="s">
        <v>218</v>
      </c>
      <c r="C13" s="92" t="s">
        <v>4</v>
      </c>
      <c r="D13" s="120">
        <f>'табл1-3'!I10</f>
        <v>293337.74227968</v>
      </c>
    </row>
    <row r="14" spans="1:4" ht="15">
      <c r="A14" s="187" t="s">
        <v>219</v>
      </c>
      <c r="B14" s="186" t="s">
        <v>220</v>
      </c>
      <c r="C14" s="92" t="s">
        <v>4</v>
      </c>
      <c r="D14" s="120">
        <f>'[1]таблицы 1-3'!I23</f>
        <v>0</v>
      </c>
    </row>
    <row r="15" spans="1:4" ht="15">
      <c r="A15" s="187" t="s">
        <v>221</v>
      </c>
      <c r="B15" s="186" t="s">
        <v>222</v>
      </c>
      <c r="C15" s="92" t="s">
        <v>4</v>
      </c>
      <c r="D15" s="120">
        <f>'табл1-3'!D26</f>
        <v>371834.79049584</v>
      </c>
    </row>
    <row r="16" spans="1:4" ht="15">
      <c r="A16" s="92">
        <v>3</v>
      </c>
      <c r="B16" s="118" t="s">
        <v>223</v>
      </c>
      <c r="C16" s="92" t="s">
        <v>4</v>
      </c>
      <c r="D16" s="120">
        <f>'табл 5-6'!L28</f>
        <v>867925.2774748747</v>
      </c>
    </row>
    <row r="17" spans="1:4" ht="15">
      <c r="A17" s="92">
        <v>4</v>
      </c>
      <c r="B17" s="118" t="s">
        <v>14</v>
      </c>
      <c r="C17" s="92" t="s">
        <v>4</v>
      </c>
      <c r="D17" s="120"/>
    </row>
    <row r="18" spans="1:4" ht="15">
      <c r="A18" s="92">
        <v>5</v>
      </c>
      <c r="B18" s="118" t="s">
        <v>224</v>
      </c>
      <c r="C18" s="92" t="s">
        <v>4</v>
      </c>
      <c r="D18" s="120">
        <f>D9+D11+D17</f>
        <v>1015134.3461327039</v>
      </c>
    </row>
    <row r="19" spans="1:4" ht="15">
      <c r="A19" s="92">
        <v>6</v>
      </c>
      <c r="B19" s="118" t="s">
        <v>225</v>
      </c>
      <c r="C19" s="92" t="s">
        <v>226</v>
      </c>
      <c r="D19" s="188">
        <f>'табл 5-6'!E16+'табл 5-6'!E29</f>
        <v>985</v>
      </c>
    </row>
    <row r="20" spans="1:4" ht="15">
      <c r="A20" s="124"/>
      <c r="B20" s="90"/>
      <c r="C20" s="124"/>
      <c r="D20" s="90"/>
    </row>
    <row r="21" spans="1:4" ht="15">
      <c r="A21" s="124"/>
      <c r="B21" s="90"/>
      <c r="C21" s="124"/>
      <c r="D21" s="189"/>
    </row>
    <row r="22" spans="1:4" ht="15">
      <c r="A22" s="124"/>
      <c r="B22" s="90"/>
      <c r="C22" s="124"/>
      <c r="D22" s="124"/>
    </row>
    <row r="23" spans="1:4" ht="15">
      <c r="A23" s="124"/>
      <c r="B23" s="90"/>
      <c r="C23" s="124"/>
      <c r="D23" s="124"/>
    </row>
    <row r="24" spans="1:4" ht="15">
      <c r="A24" s="124"/>
      <c r="B24" s="90"/>
      <c r="C24" s="124"/>
      <c r="D24" s="124"/>
    </row>
    <row r="25" spans="1:4" ht="15">
      <c r="A25" s="124"/>
      <c r="B25" s="90"/>
      <c r="C25" s="124"/>
      <c r="D25" s="124"/>
    </row>
    <row r="26" spans="1:4" ht="15">
      <c r="A26" s="124"/>
      <c r="B26" s="90"/>
      <c r="C26" s="124"/>
      <c r="D26" s="90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25">
      <selection activeCell="A31" sqref="A30:G31"/>
    </sheetView>
  </sheetViews>
  <sheetFormatPr defaultColWidth="9.00390625" defaultRowHeight="12.75"/>
  <cols>
    <col min="1" max="1" width="6.125" style="0" customWidth="1"/>
    <col min="2" max="2" width="38.125" style="0" customWidth="1"/>
    <col min="3" max="3" width="10.375" style="0" customWidth="1"/>
    <col min="4" max="4" width="19.625" style="0" hidden="1" customWidth="1"/>
    <col min="5" max="5" width="24.375" style="0" customWidth="1"/>
    <col min="6" max="6" width="21.25390625" style="0" customWidth="1"/>
    <col min="7" max="7" width="27.75390625" style="0" customWidth="1"/>
    <col min="8" max="8" width="7.125" style="0" customWidth="1"/>
    <col min="9" max="9" width="9.00390625" style="0" customWidth="1"/>
  </cols>
  <sheetData>
    <row r="1" spans="1:10" ht="18.75">
      <c r="A1" s="1"/>
      <c r="B1" s="1"/>
      <c r="C1" s="27" t="s">
        <v>75</v>
      </c>
      <c r="D1" s="1"/>
      <c r="E1" s="1"/>
      <c r="G1" s="2"/>
      <c r="I1" s="2"/>
      <c r="J1" s="2"/>
    </row>
    <row r="2" spans="1:10" ht="18.75">
      <c r="A2" s="1"/>
      <c r="B2" s="1"/>
      <c r="C2" s="27" t="s">
        <v>90</v>
      </c>
      <c r="D2" s="1"/>
      <c r="E2" s="1"/>
      <c r="G2" s="2"/>
      <c r="I2" s="2"/>
      <c r="J2" s="2"/>
    </row>
    <row r="3" spans="1:10" ht="18.75">
      <c r="A3" s="1"/>
      <c r="B3" s="1"/>
      <c r="C3" s="27" t="s">
        <v>85</v>
      </c>
      <c r="D3" s="1"/>
      <c r="E3" s="1"/>
      <c r="G3" s="2"/>
      <c r="I3" s="2"/>
      <c r="J3" s="2"/>
    </row>
    <row r="4" spans="1:10" ht="18.75">
      <c r="A4" s="1"/>
      <c r="B4" s="1"/>
      <c r="C4" s="27" t="s">
        <v>91</v>
      </c>
      <c r="D4" s="1"/>
      <c r="E4" s="1"/>
      <c r="G4" s="2"/>
      <c r="I4" s="5"/>
      <c r="J4" s="5"/>
    </row>
    <row r="5" spans="1:10" ht="18.75">
      <c r="A5" s="1"/>
      <c r="B5" s="1"/>
      <c r="C5" s="27" t="s">
        <v>232</v>
      </c>
      <c r="D5" s="1"/>
      <c r="E5" s="1"/>
      <c r="F5" s="1"/>
      <c r="G5" s="1"/>
      <c r="H5" s="3"/>
      <c r="I5" s="3"/>
      <c r="J5" s="5"/>
    </row>
    <row r="6" spans="1:10" ht="18.75">
      <c r="A6" s="1"/>
      <c r="B6" s="1"/>
      <c r="C6" s="27"/>
      <c r="D6" s="1"/>
      <c r="E6" s="1"/>
      <c r="F6" s="1"/>
      <c r="G6" s="1"/>
      <c r="H6" s="3"/>
      <c r="I6" s="3"/>
      <c r="J6" s="5"/>
    </row>
    <row r="7" spans="1:10" ht="15">
      <c r="A7" s="317" t="s">
        <v>2</v>
      </c>
      <c r="B7" s="317"/>
      <c r="C7" s="317"/>
      <c r="D7" s="317"/>
      <c r="E7" s="317"/>
      <c r="F7" s="317"/>
      <c r="G7" s="317"/>
      <c r="H7" s="4"/>
      <c r="I7" s="4"/>
      <c r="J7" s="4"/>
    </row>
    <row r="8" spans="1:10" ht="15.75">
      <c r="A8" s="317" t="s">
        <v>95</v>
      </c>
      <c r="B8" s="317"/>
      <c r="C8" s="317"/>
      <c r="D8" s="317"/>
      <c r="E8" s="317"/>
      <c r="F8" s="317"/>
      <c r="G8" s="317"/>
      <c r="H8" s="2"/>
      <c r="I8" s="2"/>
      <c r="J8" s="2"/>
    </row>
    <row r="9" spans="1:10" ht="15.75">
      <c r="A9" s="317" t="s">
        <v>425</v>
      </c>
      <c r="B9" s="317"/>
      <c r="C9" s="317"/>
      <c r="D9" s="317"/>
      <c r="E9" s="317"/>
      <c r="F9" s="317"/>
      <c r="G9" s="317"/>
      <c r="H9" s="2"/>
      <c r="I9" s="2"/>
      <c r="J9" s="2"/>
    </row>
    <row r="10" spans="1:10" ht="15.75">
      <c r="A10" s="317" t="s">
        <v>426</v>
      </c>
      <c r="B10" s="317"/>
      <c r="C10" s="317"/>
      <c r="D10" s="317"/>
      <c r="E10" s="317"/>
      <c r="F10" s="317"/>
      <c r="G10" s="317"/>
      <c r="H10" s="2"/>
      <c r="I10" s="2"/>
      <c r="J10" s="2"/>
    </row>
    <row r="12" spans="1:8" ht="30.75" customHeight="1">
      <c r="A12" s="14" t="s">
        <v>10</v>
      </c>
      <c r="B12" s="14" t="s">
        <v>8</v>
      </c>
      <c r="C12" s="14" t="s">
        <v>9</v>
      </c>
      <c r="D12" s="14" t="s">
        <v>5</v>
      </c>
      <c r="E12" s="15" t="s">
        <v>399</v>
      </c>
      <c r="F12" s="15" t="s">
        <v>395</v>
      </c>
      <c r="G12" s="15" t="s">
        <v>12</v>
      </c>
      <c r="H12" s="6"/>
    </row>
    <row r="13" spans="1:8" ht="24.75" customHeight="1">
      <c r="A13" s="8">
        <v>1</v>
      </c>
      <c r="B13" s="261" t="s">
        <v>360</v>
      </c>
      <c r="C13" s="8" t="s">
        <v>4</v>
      </c>
      <c r="D13" s="14"/>
      <c r="E13" s="262">
        <f>зарплата!H13</f>
        <v>210.7</v>
      </c>
      <c r="F13" s="9">
        <v>1.5</v>
      </c>
      <c r="G13" s="83">
        <f aca="true" t="shared" si="0" ref="G13:G22">E13*F13</f>
        <v>316.04999999999995</v>
      </c>
      <c r="H13" s="6"/>
    </row>
    <row r="14" spans="1:8" ht="27.75" customHeight="1">
      <c r="A14" s="8">
        <v>2</v>
      </c>
      <c r="B14" s="256" t="s">
        <v>365</v>
      </c>
      <c r="C14" s="8" t="s">
        <v>4</v>
      </c>
      <c r="D14" s="14"/>
      <c r="E14" s="262">
        <f>зарплата!H14</f>
        <v>218</v>
      </c>
      <c r="F14" s="9">
        <v>1.5</v>
      </c>
      <c r="G14" s="83">
        <f t="shared" si="0"/>
        <v>327</v>
      </c>
      <c r="H14" s="6"/>
    </row>
    <row r="15" spans="1:7" ht="24.75" customHeight="1">
      <c r="A15" s="8">
        <v>3</v>
      </c>
      <c r="B15" s="9" t="s">
        <v>79</v>
      </c>
      <c r="C15" s="8" t="s">
        <v>4</v>
      </c>
      <c r="D15" s="20" t="s">
        <v>25</v>
      </c>
      <c r="E15" s="263">
        <f>зарплата!H18</f>
        <v>127.9</v>
      </c>
      <c r="F15" s="9">
        <v>2</v>
      </c>
      <c r="G15" s="83">
        <f t="shared" si="0"/>
        <v>255.8</v>
      </c>
    </row>
    <row r="16" spans="1:7" ht="24.75" customHeight="1">
      <c r="A16" s="8">
        <v>4</v>
      </c>
      <c r="B16" s="10" t="s">
        <v>427</v>
      </c>
      <c r="C16" s="8" t="s">
        <v>4</v>
      </c>
      <c r="D16" s="9" t="s">
        <v>19</v>
      </c>
      <c r="E16" s="314">
        <f>зарплата!H15</f>
        <v>121.3</v>
      </c>
      <c r="F16" s="85">
        <v>1.5</v>
      </c>
      <c r="G16" s="83">
        <f t="shared" si="0"/>
        <v>181.95</v>
      </c>
    </row>
    <row r="17" spans="1:7" ht="23.25" customHeight="1">
      <c r="A17" s="8">
        <v>5</v>
      </c>
      <c r="B17" s="9" t="s">
        <v>3</v>
      </c>
      <c r="C17" s="8" t="s">
        <v>4</v>
      </c>
      <c r="D17" s="28" t="s">
        <v>27</v>
      </c>
      <c r="E17" s="263">
        <f>зарплата!H20</f>
        <v>118</v>
      </c>
      <c r="F17" s="9">
        <v>1.5</v>
      </c>
      <c r="G17" s="83">
        <f t="shared" si="0"/>
        <v>177</v>
      </c>
    </row>
    <row r="18" spans="1:7" ht="21" customHeight="1">
      <c r="A18" s="8">
        <v>6</v>
      </c>
      <c r="B18" s="10" t="s">
        <v>372</v>
      </c>
      <c r="C18" s="8" t="s">
        <v>4</v>
      </c>
      <c r="D18" s="28"/>
      <c r="E18" s="264">
        <f>E13*0.302</f>
        <v>63.63139999999999</v>
      </c>
      <c r="F18" s="9">
        <v>1.5</v>
      </c>
      <c r="G18" s="83">
        <f t="shared" si="0"/>
        <v>95.44709999999999</v>
      </c>
    </row>
    <row r="19" spans="1:7" ht="34.5" customHeight="1">
      <c r="A19" s="8">
        <v>7</v>
      </c>
      <c r="B19" s="270" t="s">
        <v>373</v>
      </c>
      <c r="C19" s="8" t="s">
        <v>4</v>
      </c>
      <c r="D19" s="28"/>
      <c r="E19" s="264">
        <f>E14*0.302</f>
        <v>65.836</v>
      </c>
      <c r="F19" s="9">
        <v>1.5</v>
      </c>
      <c r="G19" s="83">
        <f t="shared" si="0"/>
        <v>98.75399999999999</v>
      </c>
    </row>
    <row r="20" spans="1:7" ht="20.25" customHeight="1">
      <c r="A20" s="8">
        <v>8</v>
      </c>
      <c r="B20" s="10" t="s">
        <v>374</v>
      </c>
      <c r="C20" s="8" t="s">
        <v>4</v>
      </c>
      <c r="D20" s="9" t="s">
        <v>15</v>
      </c>
      <c r="E20" s="264">
        <f>E15*0.302</f>
        <v>38.6258</v>
      </c>
      <c r="F20" s="9">
        <v>2</v>
      </c>
      <c r="G20" s="83">
        <f t="shared" si="0"/>
        <v>77.2516</v>
      </c>
    </row>
    <row r="21" spans="1:7" ht="41.25" customHeight="1">
      <c r="A21" s="8">
        <v>9</v>
      </c>
      <c r="B21" s="10" t="s">
        <v>430</v>
      </c>
      <c r="C21" s="8" t="s">
        <v>4</v>
      </c>
      <c r="D21" s="9" t="s">
        <v>7</v>
      </c>
      <c r="E21" s="264">
        <f>E16*0.302</f>
        <v>36.6326</v>
      </c>
      <c r="F21" s="85">
        <v>1.5</v>
      </c>
      <c r="G21" s="83">
        <f t="shared" si="0"/>
        <v>54.948899999999995</v>
      </c>
    </row>
    <row r="22" spans="1:7" ht="21" customHeight="1">
      <c r="A22" s="8">
        <v>10</v>
      </c>
      <c r="B22" s="10" t="s">
        <v>371</v>
      </c>
      <c r="C22" s="8" t="s">
        <v>4</v>
      </c>
      <c r="D22" s="9" t="s">
        <v>6</v>
      </c>
      <c r="E22" s="264">
        <f>E17*0.302</f>
        <v>35.635999999999996</v>
      </c>
      <c r="F22" s="9">
        <v>1.5</v>
      </c>
      <c r="G22" s="83">
        <f t="shared" si="0"/>
        <v>53.45399999999999</v>
      </c>
    </row>
    <row r="23" spans="1:7" ht="19.5" customHeight="1">
      <c r="A23" s="8">
        <v>11</v>
      </c>
      <c r="B23" s="9" t="s">
        <v>96</v>
      </c>
      <c r="C23" s="8" t="s">
        <v>4</v>
      </c>
      <c r="D23" s="9" t="s">
        <v>23</v>
      </c>
      <c r="E23" s="264">
        <f>22.22*2*107.4%</f>
        <v>47.72856</v>
      </c>
      <c r="F23" s="9"/>
      <c r="G23" s="83">
        <f>E23</f>
        <v>47.72856</v>
      </c>
    </row>
    <row r="24" spans="1:7" ht="22.5" customHeight="1">
      <c r="A24" s="8">
        <v>12</v>
      </c>
      <c r="B24" s="9" t="s">
        <v>302</v>
      </c>
      <c r="C24" s="8" t="s">
        <v>4</v>
      </c>
      <c r="D24" s="11">
        <v>0.4</v>
      </c>
      <c r="E24" s="87">
        <v>0.4</v>
      </c>
      <c r="F24" s="11"/>
      <c r="G24" s="83">
        <f>SUM(G13:G23)*E24</f>
        <v>674.153664</v>
      </c>
    </row>
    <row r="25" spans="1:7" ht="18.75" customHeight="1">
      <c r="A25" s="8">
        <v>13</v>
      </c>
      <c r="B25" s="9" t="s">
        <v>14</v>
      </c>
      <c r="C25" s="8" t="s">
        <v>4</v>
      </c>
      <c r="D25" s="11">
        <v>0.09</v>
      </c>
      <c r="E25" s="87">
        <v>0.12</v>
      </c>
      <c r="F25" s="11"/>
      <c r="G25" s="83">
        <f>SUM(G13:G24)*E25</f>
        <v>283.14453887999997</v>
      </c>
    </row>
    <row r="26" spans="1:7" ht="17.25" customHeight="1">
      <c r="A26" s="9"/>
      <c r="B26" s="12" t="s">
        <v>20</v>
      </c>
      <c r="C26" s="8" t="s">
        <v>4</v>
      </c>
      <c r="D26" s="9"/>
      <c r="E26" s="16"/>
      <c r="F26" s="9"/>
      <c r="G26" s="84">
        <f>SUM(G13:G25)</f>
        <v>2642.68236288</v>
      </c>
    </row>
    <row r="27" spans="1:7" ht="12.75" hidden="1">
      <c r="A27" s="9"/>
      <c r="B27" s="9" t="s">
        <v>11</v>
      </c>
      <c r="C27" s="8" t="s">
        <v>4</v>
      </c>
      <c r="D27" s="11">
        <v>0.18</v>
      </c>
      <c r="E27" s="11">
        <v>0.18</v>
      </c>
      <c r="F27" s="11"/>
      <c r="G27" s="16">
        <f>G26*0.18</f>
        <v>475.6828253183999</v>
      </c>
    </row>
    <row r="28" spans="1:7" ht="14.25" hidden="1">
      <c r="A28" s="9"/>
      <c r="B28" s="13" t="s">
        <v>21</v>
      </c>
      <c r="C28" s="8" t="s">
        <v>4</v>
      </c>
      <c r="D28" s="9"/>
      <c r="E28" s="16"/>
      <c r="F28" s="9"/>
      <c r="G28" s="16">
        <f>G26+G27</f>
        <v>3118.3651881983997</v>
      </c>
    </row>
    <row r="29" spans="7:9" ht="12.75">
      <c r="G29" t="s">
        <v>1</v>
      </c>
      <c r="I29" s="76"/>
    </row>
    <row r="30" spans="2:7" ht="14.25">
      <c r="B30" s="77"/>
      <c r="C30" s="77"/>
      <c r="D30" s="77"/>
      <c r="E30" s="77"/>
      <c r="F30" s="77"/>
      <c r="G30" s="77"/>
    </row>
    <row r="31" spans="2:7" ht="14.25">
      <c r="B31" s="77"/>
      <c r="C31" s="77"/>
      <c r="D31" s="77"/>
      <c r="E31" s="77"/>
      <c r="F31" s="77"/>
      <c r="G31" s="77"/>
    </row>
  </sheetData>
  <sheetProtection/>
  <mergeCells count="4">
    <mergeCell ref="A9:G9"/>
    <mergeCell ref="A7:G7"/>
    <mergeCell ref="A8:G8"/>
    <mergeCell ref="A10:G10"/>
  </mergeCells>
  <printOptions horizontalCentered="1" verticalCentered="1"/>
  <pageMargins left="0.7874015748031497" right="0.984251968503937" top="0.7874015748031497" bottom="0.3937007874015748" header="0.5118110236220472" footer="0.5118110236220472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0">
      <selection activeCell="A27" sqref="A27:G27"/>
    </sheetView>
  </sheetViews>
  <sheetFormatPr defaultColWidth="9.00390625" defaultRowHeight="12.75"/>
  <cols>
    <col min="1" max="1" width="6.75390625" style="0" customWidth="1"/>
    <col min="2" max="2" width="36.75390625" style="0" customWidth="1"/>
    <col min="3" max="3" width="8.875" style="0" customWidth="1"/>
    <col min="4" max="4" width="15.375" style="0" hidden="1" customWidth="1"/>
    <col min="5" max="6" width="19.375" style="0" customWidth="1"/>
    <col min="7" max="7" width="21.75390625" style="0" customWidth="1"/>
  </cols>
  <sheetData>
    <row r="1" spans="1:7" ht="18.75">
      <c r="A1" s="18"/>
      <c r="B1" s="1"/>
      <c r="C1" s="27" t="s">
        <v>26</v>
      </c>
      <c r="D1" s="1"/>
      <c r="E1" s="1"/>
      <c r="G1" s="2"/>
    </row>
    <row r="2" spans="1:7" ht="18.75">
      <c r="A2" s="18"/>
      <c r="B2" s="1"/>
      <c r="C2" s="27" t="s">
        <v>92</v>
      </c>
      <c r="D2" s="1"/>
      <c r="E2" s="1"/>
      <c r="G2" s="2"/>
    </row>
    <row r="3" spans="1:7" ht="18.75">
      <c r="A3" s="18"/>
      <c r="B3" s="1"/>
      <c r="C3" s="27" t="s">
        <v>83</v>
      </c>
      <c r="D3" s="1"/>
      <c r="E3" s="1"/>
      <c r="G3" s="2"/>
    </row>
    <row r="4" spans="1:7" ht="18.75">
      <c r="A4" s="18"/>
      <c r="B4" s="1"/>
      <c r="C4" s="27" t="s">
        <v>94</v>
      </c>
      <c r="D4" s="1"/>
      <c r="E4" s="1"/>
      <c r="G4" s="2"/>
    </row>
    <row r="5" spans="1:8" ht="18.75">
      <c r="A5" s="18"/>
      <c r="B5" s="1"/>
      <c r="C5" s="27" t="s">
        <v>98</v>
      </c>
      <c r="D5" s="1"/>
      <c r="E5" s="1"/>
      <c r="F5" s="1"/>
      <c r="G5" s="1"/>
      <c r="H5" s="3"/>
    </row>
    <row r="6" spans="1:7" ht="18.75">
      <c r="A6" s="18"/>
      <c r="B6" s="1"/>
      <c r="C6" s="27"/>
      <c r="D6" s="1"/>
      <c r="E6" s="1"/>
      <c r="F6" s="1"/>
      <c r="G6" s="1"/>
    </row>
    <row r="7" spans="1:8" ht="15">
      <c r="A7" s="317" t="s">
        <v>2</v>
      </c>
      <c r="B7" s="317"/>
      <c r="C7" s="317"/>
      <c r="D7" s="317"/>
      <c r="E7" s="317"/>
      <c r="F7" s="317"/>
      <c r="G7" s="317"/>
      <c r="H7" s="4"/>
    </row>
    <row r="8" spans="1:8" ht="15.75">
      <c r="A8" s="324" t="s">
        <v>386</v>
      </c>
      <c r="B8" s="324"/>
      <c r="C8" s="324"/>
      <c r="D8" s="324"/>
      <c r="E8" s="324"/>
      <c r="F8" s="324"/>
      <c r="G8" s="324"/>
      <c r="H8" s="2"/>
    </row>
    <row r="9" spans="1:8" ht="15.75">
      <c r="A9" s="325"/>
      <c r="B9" s="325"/>
      <c r="C9" s="325"/>
      <c r="D9" s="325"/>
      <c r="E9" s="325"/>
      <c r="F9" s="325"/>
      <c r="G9" s="325"/>
      <c r="H9" s="2"/>
    </row>
    <row r="10" spans="1:8" ht="15.75">
      <c r="A10" s="17"/>
      <c r="B10" s="3"/>
      <c r="C10" s="7"/>
      <c r="E10" s="3"/>
      <c r="F10" s="3"/>
      <c r="G10" s="2"/>
      <c r="H10" s="2"/>
    </row>
    <row r="11" ht="12.75">
      <c r="A11" s="6"/>
    </row>
    <row r="12" spans="1:8" ht="38.25">
      <c r="A12" s="14" t="s">
        <v>10</v>
      </c>
      <c r="B12" s="14" t="s">
        <v>8</v>
      </c>
      <c r="C12" s="14" t="s">
        <v>9</v>
      </c>
      <c r="D12" s="14" t="s">
        <v>5</v>
      </c>
      <c r="E12" s="15" t="s">
        <v>398</v>
      </c>
      <c r="F12" s="15" t="s">
        <v>396</v>
      </c>
      <c r="G12" s="15" t="s">
        <v>12</v>
      </c>
      <c r="H12" s="6"/>
    </row>
    <row r="13" spans="1:8" ht="23.25" customHeight="1">
      <c r="A13" s="19">
        <v>1</v>
      </c>
      <c r="B13" s="261" t="s">
        <v>384</v>
      </c>
      <c r="C13" s="19" t="s">
        <v>4</v>
      </c>
      <c r="D13" s="14"/>
      <c r="E13" s="88">
        <f>зарплата!H12</f>
        <v>461.7</v>
      </c>
      <c r="F13" s="282">
        <v>1</v>
      </c>
      <c r="G13" s="88">
        <f>E13*F13</f>
        <v>461.7</v>
      </c>
      <c r="H13" s="6"/>
    </row>
    <row r="14" spans="1:7" ht="19.5" customHeight="1">
      <c r="A14" s="19">
        <v>2</v>
      </c>
      <c r="B14" s="20" t="s">
        <v>3</v>
      </c>
      <c r="C14" s="19" t="s">
        <v>4</v>
      </c>
      <c r="D14" s="28" t="s">
        <v>27</v>
      </c>
      <c r="E14" s="88">
        <f>зарплата!H20</f>
        <v>118</v>
      </c>
      <c r="F14" s="20">
        <v>2</v>
      </c>
      <c r="G14" s="88">
        <f>E14*F14</f>
        <v>236</v>
      </c>
    </row>
    <row r="15" spans="1:7" ht="23.25" customHeight="1">
      <c r="A15" s="19">
        <v>3</v>
      </c>
      <c r="B15" s="22" t="s">
        <v>385</v>
      </c>
      <c r="C15" s="19" t="s">
        <v>4</v>
      </c>
      <c r="D15" s="20" t="s">
        <v>15</v>
      </c>
      <c r="E15" s="88">
        <f>E13*0.302</f>
        <v>139.4334</v>
      </c>
      <c r="F15" s="282">
        <v>1</v>
      </c>
      <c r="G15" s="88">
        <f>E15*F15</f>
        <v>139.4334</v>
      </c>
    </row>
    <row r="16" spans="1:7" ht="25.5" customHeight="1">
      <c r="A16" s="19">
        <v>4</v>
      </c>
      <c r="B16" s="22" t="s">
        <v>371</v>
      </c>
      <c r="C16" s="19" t="s">
        <v>4</v>
      </c>
      <c r="D16" s="20" t="s">
        <v>6</v>
      </c>
      <c r="E16" s="88">
        <f>E14*0.302</f>
        <v>35.635999999999996</v>
      </c>
      <c r="F16" s="20">
        <v>2</v>
      </c>
      <c r="G16" s="88">
        <f>E16*F16</f>
        <v>71.27199999999999</v>
      </c>
    </row>
    <row r="17" spans="1:7" ht="22.5" customHeight="1">
      <c r="A17" s="19">
        <v>5</v>
      </c>
      <c r="B17" s="9" t="s">
        <v>96</v>
      </c>
      <c r="C17" s="19" t="s">
        <v>4</v>
      </c>
      <c r="D17" s="20" t="s">
        <v>23</v>
      </c>
      <c r="E17" s="88">
        <f>22.22*2*107.4%</f>
        <v>47.72856</v>
      </c>
      <c r="F17" s="20"/>
      <c r="G17" s="88">
        <f>E17</f>
        <v>47.72856</v>
      </c>
    </row>
    <row r="18" spans="1:7" ht="24" customHeight="1">
      <c r="A18" s="19">
        <v>6</v>
      </c>
      <c r="B18" s="20" t="s">
        <v>302</v>
      </c>
      <c r="C18" s="19" t="s">
        <v>4</v>
      </c>
      <c r="D18" s="23">
        <v>0.4</v>
      </c>
      <c r="E18" s="86">
        <v>0.4</v>
      </c>
      <c r="F18" s="23"/>
      <c r="G18" s="88">
        <f>SUM(G13:G17)*E18</f>
        <v>382.4535840000001</v>
      </c>
    </row>
    <row r="19" spans="1:7" ht="24" customHeight="1">
      <c r="A19" s="19">
        <v>7</v>
      </c>
      <c r="B19" s="20" t="s">
        <v>14</v>
      </c>
      <c r="C19" s="19" t="s">
        <v>4</v>
      </c>
      <c r="D19" s="23">
        <v>0.09</v>
      </c>
      <c r="E19" s="86">
        <v>0.12</v>
      </c>
      <c r="F19" s="23"/>
      <c r="G19" s="88">
        <f>SUM(G13:G18)*E19</f>
        <v>160.63050528000002</v>
      </c>
    </row>
    <row r="20" spans="1:7" ht="21.75" customHeight="1">
      <c r="A20" s="19"/>
      <c r="B20" s="24" t="s">
        <v>20</v>
      </c>
      <c r="C20" s="19" t="s">
        <v>4</v>
      </c>
      <c r="D20" s="20"/>
      <c r="E20" s="21"/>
      <c r="F20" s="20"/>
      <c r="G20" s="84">
        <f>SUM(G13:G19)</f>
        <v>1499.2180492800003</v>
      </c>
    </row>
    <row r="21" spans="1:7" ht="12.75" hidden="1">
      <c r="A21" s="19"/>
      <c r="B21" s="20" t="s">
        <v>11</v>
      </c>
      <c r="C21" s="19" t="s">
        <v>4</v>
      </c>
      <c r="D21" s="23">
        <v>0.18</v>
      </c>
      <c r="E21" s="23">
        <v>0.18</v>
      </c>
      <c r="F21" s="23"/>
      <c r="G21" s="21">
        <f>G20*0.18</f>
        <v>269.85924887040005</v>
      </c>
    </row>
    <row r="22" spans="1:7" ht="12.75" hidden="1">
      <c r="A22" s="19"/>
      <c r="B22" s="25" t="s">
        <v>22</v>
      </c>
      <c r="C22" s="19" t="s">
        <v>4</v>
      </c>
      <c r="D22" s="20"/>
      <c r="E22" s="21"/>
      <c r="F22" s="20"/>
      <c r="G22" s="26">
        <f>G20+G21</f>
        <v>1769.0772981504003</v>
      </c>
    </row>
    <row r="23" spans="1:7" ht="12.75">
      <c r="A23" s="265"/>
      <c r="B23" s="266"/>
      <c r="C23" s="265"/>
      <c r="D23" s="267"/>
      <c r="E23" s="268"/>
      <c r="F23" s="267"/>
      <c r="G23" s="269"/>
    </row>
    <row r="24" ht="12.75">
      <c r="A24" s="6"/>
    </row>
    <row r="25" spans="1:8" ht="14.25">
      <c r="A25" s="6"/>
      <c r="B25" s="82"/>
      <c r="C25" s="82"/>
      <c r="D25" s="82"/>
      <c r="E25" s="82"/>
      <c r="F25" s="82"/>
      <c r="G25" s="77"/>
      <c r="H25" s="76"/>
    </row>
    <row r="26" ht="12.75">
      <c r="A26" s="6"/>
    </row>
    <row r="27" spans="1:6" ht="12.75">
      <c r="A27" s="6"/>
      <c r="B27" s="82"/>
      <c r="C27" s="82"/>
      <c r="D27" s="82"/>
      <c r="E27" s="82"/>
      <c r="F27" s="82"/>
    </row>
    <row r="28" ht="12.75">
      <c r="A28" s="6"/>
    </row>
  </sheetData>
  <sheetProtection/>
  <mergeCells count="2">
    <mergeCell ref="A7:G7"/>
    <mergeCell ref="A8:G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zoomScale="70" zoomScaleNormal="70" zoomScalePageLayoutView="0" workbookViewId="0" topLeftCell="A28">
      <selection activeCell="F34" sqref="F34:J39"/>
    </sheetView>
  </sheetViews>
  <sheetFormatPr defaultColWidth="9.00390625" defaultRowHeight="12.75"/>
  <cols>
    <col min="2" max="2" width="51.375" style="29" customWidth="1"/>
    <col min="3" max="3" width="17.00390625" style="0" customWidth="1"/>
    <col min="4" max="4" width="12.125" style="0" customWidth="1"/>
    <col min="5" max="5" width="7.375" style="0" customWidth="1"/>
    <col min="6" max="6" width="8.125" style="0" customWidth="1"/>
    <col min="7" max="7" width="51.00390625" style="0" customWidth="1"/>
    <col min="8" max="8" width="15.75390625" style="0" customWidth="1"/>
    <col min="9" max="9" width="11.25390625" style="0" customWidth="1"/>
    <col min="10" max="10" width="6.00390625" style="0" customWidth="1"/>
    <col min="11" max="11" width="5.25390625" style="0" customWidth="1"/>
    <col min="12" max="12" width="8.125" style="0" customWidth="1"/>
    <col min="13" max="13" width="52.25390625" style="0" customWidth="1"/>
    <col min="14" max="14" width="17.375" style="0" customWidth="1"/>
    <col min="15" max="15" width="11.875" style="0" customWidth="1"/>
  </cols>
  <sheetData>
    <row r="1" spans="1:15" ht="15.75" customHeight="1">
      <c r="A1" s="326" t="s">
        <v>61</v>
      </c>
      <c r="B1" s="326"/>
      <c r="C1" s="326"/>
      <c r="D1" s="326"/>
      <c r="F1" s="327" t="s">
        <v>63</v>
      </c>
      <c r="G1" s="327"/>
      <c r="H1" s="327"/>
      <c r="I1" s="327"/>
      <c r="K1" s="327" t="s">
        <v>61</v>
      </c>
      <c r="L1" s="327"/>
      <c r="M1" s="327"/>
      <c r="N1" s="327"/>
      <c r="O1" s="327"/>
    </row>
    <row r="2" spans="1:15" ht="15.75" customHeight="1">
      <c r="A2" s="326" t="s">
        <v>62</v>
      </c>
      <c r="B2" s="326"/>
      <c r="C2" s="326"/>
      <c r="D2" s="326"/>
      <c r="F2" s="327" t="s">
        <v>397</v>
      </c>
      <c r="G2" s="327"/>
      <c r="H2" s="327"/>
      <c r="I2" s="327"/>
      <c r="K2" s="327" t="s">
        <v>64</v>
      </c>
      <c r="L2" s="327"/>
      <c r="M2" s="327"/>
      <c r="N2" s="327"/>
      <c r="O2" s="327"/>
    </row>
    <row r="3" spans="1:15" ht="15.75" customHeight="1">
      <c r="A3" s="326" t="s">
        <v>13</v>
      </c>
      <c r="B3" s="326"/>
      <c r="C3" s="326"/>
      <c r="D3" s="326"/>
      <c r="F3" s="326" t="s">
        <v>69</v>
      </c>
      <c r="G3" s="326"/>
      <c r="H3" s="326"/>
      <c r="I3" s="326"/>
      <c r="K3" s="327" t="s">
        <v>13</v>
      </c>
      <c r="L3" s="327"/>
      <c r="M3" s="327"/>
      <c r="N3" s="327"/>
      <c r="O3" s="327"/>
    </row>
    <row r="4" spans="1:15" ht="15.75" customHeight="1">
      <c r="A4" s="326" t="s">
        <v>69</v>
      </c>
      <c r="B4" s="326"/>
      <c r="C4" s="326"/>
      <c r="D4" s="326"/>
      <c r="F4" s="326" t="s">
        <v>77</v>
      </c>
      <c r="G4" s="326"/>
      <c r="H4" s="326"/>
      <c r="I4" s="326"/>
      <c r="K4" s="71"/>
      <c r="L4" s="326" t="s">
        <v>69</v>
      </c>
      <c r="M4" s="326"/>
      <c r="N4" s="326"/>
      <c r="O4" s="326"/>
    </row>
    <row r="5" spans="1:15" ht="15.75" customHeight="1">
      <c r="A5" s="326" t="s">
        <v>77</v>
      </c>
      <c r="B5" s="326"/>
      <c r="C5" s="326"/>
      <c r="D5" s="326"/>
      <c r="F5" s="326" t="s">
        <v>78</v>
      </c>
      <c r="G5" s="326"/>
      <c r="H5" s="326"/>
      <c r="I5" s="326"/>
      <c r="K5" s="71"/>
      <c r="L5" s="326" t="s">
        <v>77</v>
      </c>
      <c r="M5" s="326"/>
      <c r="N5" s="326"/>
      <c r="O5" s="326"/>
    </row>
    <row r="6" spans="1:15" ht="17.25" customHeight="1">
      <c r="A6" s="326" t="s">
        <v>78</v>
      </c>
      <c r="B6" s="326"/>
      <c r="C6" s="326"/>
      <c r="D6" s="326"/>
      <c r="F6" s="289" t="s">
        <v>36</v>
      </c>
      <c r="G6" s="291"/>
      <c r="H6" s="49" t="s">
        <v>56</v>
      </c>
      <c r="I6" s="49" t="s">
        <v>57</v>
      </c>
      <c r="K6" s="71"/>
      <c r="L6" s="326" t="s">
        <v>78</v>
      </c>
      <c r="M6" s="326"/>
      <c r="N6" s="326"/>
      <c r="O6" s="326"/>
    </row>
    <row r="7" spans="1:15" ht="23.25" customHeight="1">
      <c r="A7" s="289" t="s">
        <v>72</v>
      </c>
      <c r="B7" s="290"/>
      <c r="C7" s="49" t="s">
        <v>56</v>
      </c>
      <c r="D7" s="49" t="s">
        <v>57</v>
      </c>
      <c r="E7" s="55"/>
      <c r="F7" s="44">
        <v>1</v>
      </c>
      <c r="G7" s="51" t="s">
        <v>415</v>
      </c>
      <c r="H7" s="44" t="s">
        <v>416</v>
      </c>
      <c r="I7" s="44">
        <v>1</v>
      </c>
      <c r="J7" s="55"/>
      <c r="L7" s="292" t="s">
        <v>72</v>
      </c>
      <c r="M7" s="293"/>
      <c r="N7" s="49" t="s">
        <v>56</v>
      </c>
      <c r="O7" s="49" t="s">
        <v>57</v>
      </c>
    </row>
    <row r="8" spans="1:15" ht="30.75" customHeight="1">
      <c r="A8" s="332">
        <v>1</v>
      </c>
      <c r="B8" s="330" t="s">
        <v>66</v>
      </c>
      <c r="C8" s="332" t="s">
        <v>59</v>
      </c>
      <c r="D8" s="332">
        <v>0.25</v>
      </c>
      <c r="E8" s="68"/>
      <c r="F8" s="44">
        <v>2</v>
      </c>
      <c r="G8" s="51" t="s">
        <v>50</v>
      </c>
      <c r="H8" s="44" t="s">
        <v>41</v>
      </c>
      <c r="I8" s="44">
        <v>0.5</v>
      </c>
      <c r="J8" s="68"/>
      <c r="L8" s="44">
        <v>1</v>
      </c>
      <c r="M8" s="51" t="s">
        <v>415</v>
      </c>
      <c r="N8" s="44" t="s">
        <v>416</v>
      </c>
      <c r="O8" s="44">
        <v>1</v>
      </c>
    </row>
    <row r="9" spans="1:15" ht="26.25" customHeight="1">
      <c r="A9" s="333"/>
      <c r="B9" s="331"/>
      <c r="C9" s="333"/>
      <c r="D9" s="333"/>
      <c r="E9" s="68"/>
      <c r="F9" s="44">
        <v>3</v>
      </c>
      <c r="G9" s="51" t="s">
        <v>51</v>
      </c>
      <c r="H9" s="44" t="s">
        <v>59</v>
      </c>
      <c r="I9" s="44">
        <v>0.25</v>
      </c>
      <c r="J9" s="68"/>
      <c r="L9" s="44">
        <v>2</v>
      </c>
      <c r="M9" s="51" t="s">
        <v>58</v>
      </c>
      <c r="N9" s="44" t="s">
        <v>41</v>
      </c>
      <c r="O9" s="44">
        <v>0.5</v>
      </c>
    </row>
    <row r="10" spans="1:15" ht="32.25" customHeight="1">
      <c r="A10" s="44">
        <v>2</v>
      </c>
      <c r="B10" s="51" t="s">
        <v>415</v>
      </c>
      <c r="C10" s="44" t="s">
        <v>416</v>
      </c>
      <c r="D10" s="44">
        <v>1</v>
      </c>
      <c r="E10" s="68"/>
      <c r="F10" s="44">
        <v>4</v>
      </c>
      <c r="G10" s="51" t="s">
        <v>52</v>
      </c>
      <c r="H10" s="44" t="s">
        <v>41</v>
      </c>
      <c r="I10" s="44">
        <v>0.5</v>
      </c>
      <c r="J10" s="68"/>
      <c r="L10" s="44">
        <v>3</v>
      </c>
      <c r="M10" s="51" t="s">
        <v>406</v>
      </c>
      <c r="N10" s="44" t="s">
        <v>41</v>
      </c>
      <c r="O10" s="44">
        <v>0.5</v>
      </c>
    </row>
    <row r="11" spans="1:15" ht="29.25" customHeight="1">
      <c r="A11" s="328">
        <v>3</v>
      </c>
      <c r="B11" s="330" t="s">
        <v>404</v>
      </c>
      <c r="C11" s="328" t="s">
        <v>45</v>
      </c>
      <c r="D11" s="328">
        <v>0.67</v>
      </c>
      <c r="E11" s="68"/>
      <c r="F11" s="12" t="s">
        <v>46</v>
      </c>
      <c r="G11" s="10"/>
      <c r="H11" s="52" t="s">
        <v>418</v>
      </c>
      <c r="I11" s="54">
        <f>I8+I9+I10+I7</f>
        <v>2.25</v>
      </c>
      <c r="J11" s="68"/>
      <c r="L11" s="12" t="s">
        <v>46</v>
      </c>
      <c r="M11" s="57"/>
      <c r="N11" s="301" t="s">
        <v>55</v>
      </c>
      <c r="O11" s="301">
        <f>O8+O9+O10</f>
        <v>2</v>
      </c>
    </row>
    <row r="12" spans="1:15" ht="21" customHeight="1">
      <c r="A12" s="329"/>
      <c r="B12" s="331"/>
      <c r="C12" s="329"/>
      <c r="D12" s="329"/>
      <c r="E12" s="68"/>
      <c r="F12" s="48" t="s">
        <v>422</v>
      </c>
      <c r="G12" s="53"/>
      <c r="H12" s="50"/>
      <c r="I12" s="58"/>
      <c r="J12" s="68"/>
      <c r="L12" s="65" t="s">
        <v>48</v>
      </c>
      <c r="M12" s="53"/>
      <c r="N12" s="40"/>
      <c r="O12" s="40"/>
    </row>
    <row r="13" spans="1:15" ht="25.5" customHeight="1">
      <c r="A13" s="328">
        <v>4</v>
      </c>
      <c r="B13" s="334" t="s">
        <v>405</v>
      </c>
      <c r="C13" s="328" t="s">
        <v>400</v>
      </c>
      <c r="D13" s="328">
        <v>4</v>
      </c>
      <c r="E13" s="68"/>
      <c r="F13" s="44">
        <v>1</v>
      </c>
      <c r="G13" s="51" t="s">
        <v>415</v>
      </c>
      <c r="H13" s="44" t="s">
        <v>424</v>
      </c>
      <c r="I13" s="44">
        <v>2</v>
      </c>
      <c r="J13" s="55"/>
      <c r="L13" s="328">
        <v>1</v>
      </c>
      <c r="M13" s="330" t="s">
        <v>417</v>
      </c>
      <c r="N13" s="328" t="s">
        <v>416</v>
      </c>
      <c r="O13" s="328">
        <v>1</v>
      </c>
    </row>
    <row r="14" spans="1:15" ht="29.25" customHeight="1">
      <c r="A14" s="329"/>
      <c r="B14" s="335"/>
      <c r="C14" s="329"/>
      <c r="D14" s="329"/>
      <c r="E14" s="68"/>
      <c r="F14" s="44">
        <v>2</v>
      </c>
      <c r="G14" s="51" t="s">
        <v>60</v>
      </c>
      <c r="H14" s="44" t="s">
        <v>55</v>
      </c>
      <c r="I14" s="44">
        <v>2</v>
      </c>
      <c r="J14" s="55"/>
      <c r="K14" s="62"/>
      <c r="L14" s="329"/>
      <c r="M14" s="331"/>
      <c r="N14" s="329"/>
      <c r="O14" s="329"/>
    </row>
    <row r="15" spans="1:15" ht="18.75" customHeight="1">
      <c r="A15" s="12" t="s">
        <v>46</v>
      </c>
      <c r="B15" s="10"/>
      <c r="C15" s="245" t="s">
        <v>401</v>
      </c>
      <c r="D15" s="284">
        <f>D8+D10+D11+D13</f>
        <v>5.92</v>
      </c>
      <c r="E15" s="68"/>
      <c r="F15" s="12" t="s">
        <v>46</v>
      </c>
      <c r="G15" s="51"/>
      <c r="H15" s="52" t="s">
        <v>421</v>
      </c>
      <c r="I15" s="80">
        <f>I13+I14</f>
        <v>4</v>
      </c>
      <c r="J15" s="68"/>
      <c r="L15" s="44">
        <v>2</v>
      </c>
      <c r="M15" s="51" t="s">
        <v>49</v>
      </c>
      <c r="N15" s="44" t="s">
        <v>41</v>
      </c>
      <c r="O15" s="44">
        <v>0.5</v>
      </c>
    </row>
    <row r="16" spans="1:15" ht="26.25" customHeight="1">
      <c r="A16" s="48" t="s">
        <v>73</v>
      </c>
      <c r="B16" s="53"/>
      <c r="C16" s="50"/>
      <c r="D16" s="50"/>
      <c r="E16" s="68"/>
      <c r="F16" s="56" t="s">
        <v>34</v>
      </c>
      <c r="G16" s="57"/>
      <c r="H16" s="50"/>
      <c r="I16" s="50"/>
      <c r="J16" s="68"/>
      <c r="L16" s="64" t="s">
        <v>46</v>
      </c>
      <c r="M16" s="51"/>
      <c r="N16" s="52" t="s">
        <v>82</v>
      </c>
      <c r="O16" s="283">
        <f>O13+O15</f>
        <v>1.5</v>
      </c>
    </row>
    <row r="17" spans="1:15" ht="27.75" customHeight="1">
      <c r="A17" s="44">
        <v>1</v>
      </c>
      <c r="B17" s="10" t="s">
        <v>47</v>
      </c>
      <c r="C17" s="44" t="s">
        <v>44</v>
      </c>
      <c r="D17" s="44">
        <v>0.33</v>
      </c>
      <c r="E17" s="68"/>
      <c r="F17" s="44">
        <v>1</v>
      </c>
      <c r="G17" s="51" t="s">
        <v>54</v>
      </c>
      <c r="H17" s="45" t="s">
        <v>419</v>
      </c>
      <c r="I17" s="45">
        <v>2</v>
      </c>
      <c r="J17" s="69"/>
      <c r="L17" s="56" t="s">
        <v>361</v>
      </c>
      <c r="M17" s="57"/>
      <c r="N17" s="50"/>
      <c r="O17" s="50"/>
    </row>
    <row r="18" spans="1:15" ht="29.25" customHeight="1">
      <c r="A18" s="328">
        <v>2</v>
      </c>
      <c r="B18" s="330" t="s">
        <v>402</v>
      </c>
      <c r="C18" s="328" t="s">
        <v>44</v>
      </c>
      <c r="D18" s="328">
        <v>0.33</v>
      </c>
      <c r="E18" s="68"/>
      <c r="F18" s="44">
        <v>2</v>
      </c>
      <c r="G18" s="51" t="s">
        <v>53</v>
      </c>
      <c r="H18" s="44" t="s">
        <v>42</v>
      </c>
      <c r="I18" s="44">
        <v>0.75</v>
      </c>
      <c r="J18" s="55"/>
      <c r="L18" s="44">
        <v>1</v>
      </c>
      <c r="M18" s="51" t="s">
        <v>415</v>
      </c>
      <c r="N18" s="44" t="s">
        <v>416</v>
      </c>
      <c r="O18" s="44">
        <v>1</v>
      </c>
    </row>
    <row r="19" spans="1:15" ht="27.75" customHeight="1">
      <c r="A19" s="329"/>
      <c r="B19" s="331"/>
      <c r="C19" s="329"/>
      <c r="D19" s="329"/>
      <c r="E19" s="68"/>
      <c r="F19" s="12" t="s">
        <v>46</v>
      </c>
      <c r="G19" s="51"/>
      <c r="H19" s="52" t="s">
        <v>420</v>
      </c>
      <c r="I19" s="52">
        <f>I17+I18</f>
        <v>2.75</v>
      </c>
      <c r="J19" s="67"/>
      <c r="L19" s="39">
        <v>2</v>
      </c>
      <c r="M19" s="286" t="s">
        <v>58</v>
      </c>
      <c r="N19" s="39" t="s">
        <v>41</v>
      </c>
      <c r="O19" s="39">
        <v>0.5</v>
      </c>
    </row>
    <row r="20" spans="1:15" ht="27" customHeight="1">
      <c r="A20" s="61" t="s">
        <v>46</v>
      </c>
      <c r="B20" s="10"/>
      <c r="C20" s="52" t="s">
        <v>403</v>
      </c>
      <c r="D20" s="284">
        <f>D17+D18</f>
        <v>0.66</v>
      </c>
      <c r="E20" s="68"/>
      <c r="F20" s="48" t="s">
        <v>72</v>
      </c>
      <c r="G20" s="57"/>
      <c r="H20" s="50"/>
      <c r="I20" s="50"/>
      <c r="J20" s="70"/>
      <c r="L20" s="64" t="s">
        <v>46</v>
      </c>
      <c r="M20" s="51"/>
      <c r="N20" s="52" t="s">
        <v>81</v>
      </c>
      <c r="O20" s="283">
        <f>O18+O19</f>
        <v>1.5</v>
      </c>
    </row>
    <row r="21" spans="1:15" ht="45" customHeight="1">
      <c r="A21" s="48" t="s">
        <v>48</v>
      </c>
      <c r="B21" s="53"/>
      <c r="C21" s="40"/>
      <c r="D21" s="40"/>
      <c r="E21" s="68"/>
      <c r="F21" s="44">
        <v>1</v>
      </c>
      <c r="G21" s="51" t="s">
        <v>410</v>
      </c>
      <c r="H21" s="45" t="s">
        <v>41</v>
      </c>
      <c r="I21" s="45">
        <v>0.5</v>
      </c>
      <c r="J21" s="68"/>
      <c r="L21" s="287" t="s">
        <v>362</v>
      </c>
      <c r="M21" s="288"/>
      <c r="N21" s="49"/>
      <c r="O21" s="66"/>
    </row>
    <row r="22" spans="1:15" ht="42.75" customHeight="1">
      <c r="A22" s="44">
        <v>1</v>
      </c>
      <c r="B22" s="63" t="s">
        <v>417</v>
      </c>
      <c r="C22" s="44" t="s">
        <v>416</v>
      </c>
      <c r="D22" s="44">
        <v>1</v>
      </c>
      <c r="E22" s="68"/>
      <c r="F22" s="44">
        <v>2</v>
      </c>
      <c r="G22" s="51" t="s">
        <v>409</v>
      </c>
      <c r="H22" s="44" t="s">
        <v>43</v>
      </c>
      <c r="I22" s="44">
        <v>1</v>
      </c>
      <c r="J22" s="69"/>
      <c r="L22" s="44">
        <v>1</v>
      </c>
      <c r="M22" s="51" t="s">
        <v>415</v>
      </c>
      <c r="N22" s="44" t="s">
        <v>416</v>
      </c>
      <c r="O22" s="44">
        <v>1</v>
      </c>
    </row>
    <row r="23" spans="1:15" ht="33.75" customHeight="1">
      <c r="A23" s="44">
        <v>2</v>
      </c>
      <c r="B23" s="63" t="s">
        <v>49</v>
      </c>
      <c r="C23" s="44" t="s">
        <v>45</v>
      </c>
      <c r="D23" s="44">
        <v>0.66</v>
      </c>
      <c r="E23" s="68"/>
      <c r="F23" s="12" t="s">
        <v>46</v>
      </c>
      <c r="G23" s="51"/>
      <c r="H23" s="52" t="s">
        <v>81</v>
      </c>
      <c r="I23" s="52">
        <f>I21+I22</f>
        <v>1.5</v>
      </c>
      <c r="J23" s="32"/>
      <c r="L23" s="285">
        <v>2</v>
      </c>
      <c r="M23" s="302" t="s">
        <v>407</v>
      </c>
      <c r="N23" s="285" t="s">
        <v>41</v>
      </c>
      <c r="O23" s="285">
        <v>0.5</v>
      </c>
    </row>
    <row r="24" spans="1:15" ht="30.75" customHeight="1">
      <c r="A24" s="61" t="s">
        <v>46</v>
      </c>
      <c r="B24" s="63"/>
      <c r="C24" s="283" t="s">
        <v>80</v>
      </c>
      <c r="D24" s="283">
        <f>D22+D23</f>
        <v>1.6600000000000001</v>
      </c>
      <c r="E24" s="67"/>
      <c r="F24" s="48" t="s">
        <v>383</v>
      </c>
      <c r="G24" s="57"/>
      <c r="H24" s="44"/>
      <c r="I24" s="44"/>
      <c r="J24" s="32"/>
      <c r="L24" s="64" t="s">
        <v>46</v>
      </c>
      <c r="M24" s="51"/>
      <c r="N24" s="52" t="s">
        <v>81</v>
      </c>
      <c r="O24" s="66">
        <f>O21+O22+O23</f>
        <v>1.5</v>
      </c>
    </row>
    <row r="25" spans="1:15" ht="39" customHeight="1">
      <c r="A25" s="56" t="s">
        <v>361</v>
      </c>
      <c r="B25" s="57"/>
      <c r="C25" s="44"/>
      <c r="D25" s="44"/>
      <c r="E25" s="67"/>
      <c r="F25" s="44">
        <v>1</v>
      </c>
      <c r="G25" s="51" t="s">
        <v>411</v>
      </c>
      <c r="H25" s="44" t="s">
        <v>59</v>
      </c>
      <c r="I25" s="44">
        <v>0.25</v>
      </c>
      <c r="L25" s="336" t="s">
        <v>414</v>
      </c>
      <c r="M25" s="337"/>
      <c r="N25" s="44"/>
      <c r="O25" s="44"/>
    </row>
    <row r="26" spans="1:15" ht="39.75" customHeight="1">
      <c r="A26" s="44">
        <v>1</v>
      </c>
      <c r="B26" s="51" t="s">
        <v>415</v>
      </c>
      <c r="C26" s="44" t="s">
        <v>416</v>
      </c>
      <c r="D26" s="44">
        <v>1</v>
      </c>
      <c r="E26" s="68"/>
      <c r="F26" s="64" t="s">
        <v>46</v>
      </c>
      <c r="G26" s="63"/>
      <c r="H26" s="52" t="s">
        <v>59</v>
      </c>
      <c r="I26" s="284">
        <f>I25</f>
        <v>0.25</v>
      </c>
      <c r="L26" s="44">
        <v>1</v>
      </c>
      <c r="M26" s="51" t="s">
        <v>415</v>
      </c>
      <c r="N26" s="44" t="s">
        <v>416</v>
      </c>
      <c r="O26" s="44">
        <v>1</v>
      </c>
    </row>
    <row r="27" spans="1:15" ht="49.5" customHeight="1">
      <c r="A27" s="44">
        <v>2</v>
      </c>
      <c r="B27" s="280" t="s">
        <v>404</v>
      </c>
      <c r="C27" s="297" t="s">
        <v>45</v>
      </c>
      <c r="D27" s="297">
        <v>0.66</v>
      </c>
      <c r="E27" s="68"/>
      <c r="F27" s="336" t="s">
        <v>363</v>
      </c>
      <c r="G27" s="337"/>
      <c r="H27" s="40"/>
      <c r="I27" s="40"/>
      <c r="L27" s="285">
        <v>2</v>
      </c>
      <c r="M27" s="302" t="s">
        <v>408</v>
      </c>
      <c r="N27" s="285" t="s">
        <v>41</v>
      </c>
      <c r="O27" s="285">
        <v>0.5</v>
      </c>
    </row>
    <row r="28" spans="1:15" ht="47.25" customHeight="1">
      <c r="A28" s="64" t="s">
        <v>46</v>
      </c>
      <c r="B28" s="63"/>
      <c r="C28" s="52" t="s">
        <v>80</v>
      </c>
      <c r="D28" s="284">
        <f>D26+D27</f>
        <v>1.6600000000000001</v>
      </c>
      <c r="E28" s="68"/>
      <c r="F28" s="44">
        <v>1</v>
      </c>
      <c r="G28" s="51" t="s">
        <v>412</v>
      </c>
      <c r="H28" s="297" t="s">
        <v>41</v>
      </c>
      <c r="I28" s="283">
        <v>0.5</v>
      </c>
      <c r="L28" s="64" t="s">
        <v>46</v>
      </c>
      <c r="M28" s="51"/>
      <c r="N28" s="52" t="s">
        <v>81</v>
      </c>
      <c r="O28" s="66">
        <f>O25+O26+O27</f>
        <v>1.5</v>
      </c>
    </row>
    <row r="29" spans="1:15" ht="42.75" customHeight="1">
      <c r="A29" s="74"/>
      <c r="B29" s="73"/>
      <c r="C29" s="75"/>
      <c r="D29" s="305"/>
      <c r="E29" s="68"/>
      <c r="F29" s="307" t="s">
        <v>46</v>
      </c>
      <c r="G29" s="295"/>
      <c r="H29" s="283" t="s">
        <v>41</v>
      </c>
      <c r="I29" s="283">
        <f>I28</f>
        <v>0.5</v>
      </c>
      <c r="L29" s="74" t="s">
        <v>65</v>
      </c>
      <c r="M29" s="73"/>
      <c r="N29" s="75" t="s">
        <v>76</v>
      </c>
      <c r="O29" s="294"/>
    </row>
    <row r="30" spans="1:15" ht="31.5" customHeight="1">
      <c r="A30" s="74"/>
      <c r="B30" s="73"/>
      <c r="C30" s="75"/>
      <c r="D30" s="306"/>
      <c r="E30" s="68"/>
      <c r="F30" s="336" t="s">
        <v>364</v>
      </c>
      <c r="G30" s="337"/>
      <c r="H30" s="44"/>
      <c r="I30" s="44"/>
      <c r="L30" s="74" t="s">
        <v>73</v>
      </c>
      <c r="M30" s="73"/>
      <c r="N30" s="75" t="s">
        <v>338</v>
      </c>
      <c r="O30" s="311"/>
    </row>
    <row r="31" spans="1:15" ht="30.75" customHeight="1">
      <c r="A31" s="298"/>
      <c r="B31" s="299"/>
      <c r="C31" s="69"/>
      <c r="D31" s="306"/>
      <c r="E31" s="68"/>
      <c r="F31" s="44">
        <v>1</v>
      </c>
      <c r="G31" s="303" t="s">
        <v>423</v>
      </c>
      <c r="H31" s="283" t="s">
        <v>413</v>
      </c>
      <c r="I31" s="297">
        <v>0.25</v>
      </c>
      <c r="L31" s="312"/>
      <c r="M31" s="313"/>
      <c r="N31" s="75"/>
      <c r="O31" s="67"/>
    </row>
    <row r="32" spans="1:15" ht="45" customHeight="1">
      <c r="A32" s="68"/>
      <c r="B32" s="304"/>
      <c r="C32" s="68"/>
      <c r="D32" s="68"/>
      <c r="E32" s="68"/>
      <c r="F32" s="307" t="s">
        <v>46</v>
      </c>
      <c r="G32" s="295"/>
      <c r="H32" s="283" t="s">
        <v>59</v>
      </c>
      <c r="I32" s="283">
        <f>I31</f>
        <v>0.25</v>
      </c>
      <c r="L32" s="298"/>
      <c r="M32" s="310"/>
      <c r="N32" s="69"/>
      <c r="O32" s="311"/>
    </row>
    <row r="33" spans="1:15" ht="19.5" customHeight="1">
      <c r="A33" s="74"/>
      <c r="B33" s="73"/>
      <c r="C33" s="75"/>
      <c r="E33" s="68"/>
      <c r="F33" s="308"/>
      <c r="G33" s="308"/>
      <c r="H33" s="309"/>
      <c r="I33" s="309"/>
      <c r="L33" s="298"/>
      <c r="M33" s="310"/>
      <c r="N33" s="69"/>
      <c r="O33" s="311"/>
    </row>
    <row r="34" spans="1:14" ht="28.5" customHeight="1">
      <c r="A34" s="74"/>
      <c r="B34" s="72"/>
      <c r="C34" s="75"/>
      <c r="E34" s="68"/>
      <c r="F34" s="298"/>
      <c r="G34" s="299"/>
      <c r="H34" s="69"/>
      <c r="I34" s="300"/>
      <c r="L34" s="74"/>
      <c r="M34" s="73"/>
      <c r="N34" s="75"/>
    </row>
    <row r="35" spans="5:14" ht="15">
      <c r="E35" s="68"/>
      <c r="F35" s="74"/>
      <c r="G35" s="73"/>
      <c r="H35" s="75"/>
      <c r="L35" s="74"/>
      <c r="M35" s="73"/>
      <c r="N35" s="75"/>
    </row>
    <row r="36" spans="5:14" ht="15">
      <c r="E36" s="68"/>
      <c r="F36" s="74"/>
      <c r="G36" s="73"/>
      <c r="H36" s="75"/>
      <c r="L36" s="74"/>
      <c r="M36" s="73"/>
      <c r="N36" s="75"/>
    </row>
    <row r="37" spans="5:8" ht="15">
      <c r="E37" s="68"/>
      <c r="F37" s="74"/>
      <c r="G37" s="73"/>
      <c r="H37" s="75"/>
    </row>
    <row r="38" ht="12.75">
      <c r="E38" s="47"/>
    </row>
    <row r="39" spans="5:14" ht="15">
      <c r="E39" s="32"/>
      <c r="L39" s="74"/>
      <c r="M39" s="73"/>
      <c r="N39" s="75"/>
    </row>
    <row r="43" ht="12.75">
      <c r="J43" s="31"/>
    </row>
    <row r="44" spans="7:10" ht="12.75">
      <c r="G44" s="31"/>
      <c r="H44" s="31"/>
      <c r="I44" s="31"/>
      <c r="J44" s="31"/>
    </row>
    <row r="45" spans="7:10" ht="12.75">
      <c r="G45" s="31"/>
      <c r="H45" s="31"/>
      <c r="I45" s="31"/>
      <c r="J45" s="31"/>
    </row>
    <row r="46" spans="7:10" ht="12.75">
      <c r="G46" s="31"/>
      <c r="H46" s="31"/>
      <c r="I46" s="31"/>
      <c r="J46" s="31"/>
    </row>
    <row r="47" spans="7:10" ht="12.75">
      <c r="G47" s="31"/>
      <c r="H47" s="31"/>
      <c r="I47" s="31"/>
      <c r="J47" s="31"/>
    </row>
    <row r="48" spans="7:10" ht="12.75">
      <c r="G48" s="31"/>
      <c r="H48" s="31"/>
      <c r="I48" s="31"/>
      <c r="J48" s="31"/>
    </row>
    <row r="49" spans="7:10" ht="12.75">
      <c r="G49" s="31"/>
      <c r="H49" s="31"/>
      <c r="I49" s="31"/>
      <c r="J49" s="31"/>
    </row>
    <row r="50" spans="7:10" ht="12.75">
      <c r="G50" s="31"/>
      <c r="H50" s="31"/>
      <c r="I50" s="31"/>
      <c r="J50" s="31"/>
    </row>
    <row r="51" spans="7:10" ht="12.75">
      <c r="G51" s="31"/>
      <c r="H51" s="31"/>
      <c r="I51" s="31"/>
      <c r="J51" s="31"/>
    </row>
    <row r="52" spans="7:10" ht="12.75">
      <c r="G52" s="31"/>
      <c r="H52" s="31"/>
      <c r="I52" s="31"/>
      <c r="J52" s="31"/>
    </row>
    <row r="53" spans="7:10" ht="12.75">
      <c r="G53" s="31"/>
      <c r="H53" s="31"/>
      <c r="I53" s="31"/>
      <c r="J53" s="31"/>
    </row>
    <row r="54" spans="7:10" ht="12.75">
      <c r="G54" s="31"/>
      <c r="H54" s="31"/>
      <c r="I54" s="31"/>
      <c r="J54" s="31"/>
    </row>
    <row r="55" spans="7:10" ht="12.75">
      <c r="G55" s="31"/>
      <c r="H55" s="31"/>
      <c r="I55" s="31"/>
      <c r="J55" s="31"/>
    </row>
    <row r="56" spans="7:10" ht="12.75">
      <c r="G56" s="31"/>
      <c r="H56" s="31"/>
      <c r="I56" s="31"/>
      <c r="J56" s="31"/>
    </row>
    <row r="57" spans="7:10" ht="12.75">
      <c r="G57" s="31"/>
      <c r="H57" s="31"/>
      <c r="I57" s="31"/>
      <c r="J57" s="31"/>
    </row>
    <row r="58" spans="7:10" ht="12.75">
      <c r="G58" s="31"/>
      <c r="H58" s="31"/>
      <c r="I58" s="31"/>
      <c r="J58" s="31"/>
    </row>
    <row r="59" spans="7:9" ht="12.75">
      <c r="G59" s="31"/>
      <c r="H59" s="31"/>
      <c r="I59" s="31"/>
    </row>
  </sheetData>
  <sheetProtection/>
  <mergeCells count="40">
    <mergeCell ref="F27:G27"/>
    <mergeCell ref="F30:G30"/>
    <mergeCell ref="L13:L14"/>
    <mergeCell ref="N13:N14"/>
    <mergeCell ref="O13:O14"/>
    <mergeCell ref="M13:M14"/>
    <mergeCell ref="L25:M25"/>
    <mergeCell ref="C11:C12"/>
    <mergeCell ref="D11:D12"/>
    <mergeCell ref="B11:B12"/>
    <mergeCell ref="A13:A14"/>
    <mergeCell ref="C13:C14"/>
    <mergeCell ref="D13:D14"/>
    <mergeCell ref="B13:B14"/>
    <mergeCell ref="F4:I4"/>
    <mergeCell ref="F5:I5"/>
    <mergeCell ref="B8:B9"/>
    <mergeCell ref="A8:A9"/>
    <mergeCell ref="C8:C9"/>
    <mergeCell ref="D8:D9"/>
    <mergeCell ref="L5:O5"/>
    <mergeCell ref="L6:O6"/>
    <mergeCell ref="A4:D4"/>
    <mergeCell ref="A5:D5"/>
    <mergeCell ref="A6:D6"/>
    <mergeCell ref="A18:A19"/>
    <mergeCell ref="C18:C19"/>
    <mergeCell ref="D18:D19"/>
    <mergeCell ref="B18:B19"/>
    <mergeCell ref="A11:A12"/>
    <mergeCell ref="L4:O4"/>
    <mergeCell ref="K1:O1"/>
    <mergeCell ref="K2:O2"/>
    <mergeCell ref="K3:O3"/>
    <mergeCell ref="A1:D1"/>
    <mergeCell ref="A2:D2"/>
    <mergeCell ref="A3:D3"/>
    <mergeCell ref="F1:I1"/>
    <mergeCell ref="F2:I2"/>
    <mergeCell ref="F3:I3"/>
  </mergeCells>
  <printOptions horizontalCentered="1"/>
  <pageMargins left="0.984251968503937" right="0" top="0.7874015748031497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1</cp:lastModifiedBy>
  <cp:lastPrinted>2014-11-20T07:00:18Z</cp:lastPrinted>
  <dcterms:created xsi:type="dcterms:W3CDTF">2006-06-20T06:30:10Z</dcterms:created>
  <dcterms:modified xsi:type="dcterms:W3CDTF">2017-10-03T14:20:07Z</dcterms:modified>
  <cp:category/>
  <cp:version/>
  <cp:contentType/>
  <cp:contentStatus/>
</cp:coreProperties>
</file>