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0" windowWidth="15015" windowHeight="7770" tabRatio="734" firstSheet="8" activeTab="13"/>
  </bookViews>
  <sheets>
    <sheet name="выдача техусл" sheetId="1" r:id="rId1"/>
    <sheet name="проверка выполнения техусловий" sheetId="2" r:id="rId2"/>
    <sheet name="фактич.действия" sheetId="3" r:id="rId3"/>
    <sheet name="табл1-3" sheetId="4" r:id="rId4"/>
    <sheet name="табл 4" sheetId="5" r:id="rId5"/>
    <sheet name="табл 5-6" sheetId="6" r:id="rId6"/>
    <sheet name="табл 7" sheetId="7" r:id="rId7"/>
    <sheet name="Осмотр Ростехнадзором" sheetId="8" r:id="rId8"/>
    <sheet name="хронометраж" sheetId="9" r:id="rId9"/>
    <sheet name="зарплата" sheetId="10" r:id="rId10"/>
    <sheet name="Расчет НВВ" sheetId="11" r:id="rId11"/>
    <sheet name="НВВ на 1кВт" sheetId="12" r:id="rId12"/>
    <sheet name="Кальк.мероприятий" sheetId="13" r:id="rId13"/>
    <sheet name="прилож №5" sheetId="14" r:id="rId14"/>
    <sheet name="Лист1" sheetId="15" r:id="rId15"/>
  </sheets>
  <externalReferences>
    <externalReference r:id="rId18"/>
  </externalReferences>
  <definedNames>
    <definedName name="_xlnm.Print_Area" localSheetId="0">'выдача техусл'!$A$1:$G$25</definedName>
  </definedNames>
  <calcPr fullCalcOnLoad="1"/>
</workbook>
</file>

<file path=xl/comments6.xml><?xml version="1.0" encoding="utf-8"?>
<comments xmlns="http://schemas.openxmlformats.org/spreadsheetml/2006/main">
  <authors>
    <author>Инна</author>
  </authors>
  <commentList>
    <comment ref="L1" authorId="0">
      <text>
        <r>
          <rPr>
            <b/>
            <sz val="8"/>
            <rFont val="Tahoma"/>
            <family val="2"/>
          </rPr>
          <t>Инна:</t>
        </r>
        <r>
          <rPr>
            <sz val="8"/>
            <rFont val="Tahoma"/>
            <family val="2"/>
          </rPr>
          <t xml:space="preserve">
для РЭКа скрыть колонку
</t>
        </r>
      </text>
    </comment>
  </commentList>
</comments>
</file>

<file path=xl/sharedStrings.xml><?xml version="1.0" encoding="utf-8"?>
<sst xmlns="http://schemas.openxmlformats.org/spreadsheetml/2006/main" count="922" uniqueCount="390">
  <si>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</si>
  <si>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</si>
  <si>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КАЛЬКУЛЯЦИЯ</t>
  </si>
  <si>
    <t>Зарплата водителя</t>
  </si>
  <si>
    <t>руб.</t>
  </si>
  <si>
    <t>Расчет</t>
  </si>
  <si>
    <t>п.3* 0,26</t>
  </si>
  <si>
    <t>п.2* 0,26</t>
  </si>
  <si>
    <t>Статьи затрат</t>
  </si>
  <si>
    <t>Ед.изм.</t>
  </si>
  <si>
    <t>№ п/п</t>
  </si>
  <si>
    <t>НДС</t>
  </si>
  <si>
    <t>Стоимость работы</t>
  </si>
  <si>
    <t>на технологическое присоединение</t>
  </si>
  <si>
    <t>Прибыль</t>
  </si>
  <si>
    <t>п.1* 0,26</t>
  </si>
  <si>
    <t>Зарплата электромонтеров (2 чел. по 4 разр.)</t>
  </si>
  <si>
    <t>(10345+10345/12)/165</t>
  </si>
  <si>
    <t>(15080+15080/12)/165</t>
  </si>
  <si>
    <t>Итого затрат</t>
  </si>
  <si>
    <t xml:space="preserve">Всего </t>
  </si>
  <si>
    <t>Всего</t>
  </si>
  <si>
    <t>0,18л.*180км* 17,5руб.</t>
  </si>
  <si>
    <t>5 л.* 17,5</t>
  </si>
  <si>
    <t>(9300+9300/12)/165</t>
  </si>
  <si>
    <t>((4282*1,7+(4282*1,7)/12))/165</t>
  </si>
  <si>
    <t>(4282*1,75+4282*1,75/12))/165</t>
  </si>
  <si>
    <t>З/пл в мес.</t>
  </si>
  <si>
    <t>Премия</t>
  </si>
  <si>
    <t>Всего в месяц</t>
  </si>
  <si>
    <t>Итого в час</t>
  </si>
  <si>
    <t>Количество часов в мес.</t>
  </si>
  <si>
    <t>Водитель</t>
  </si>
  <si>
    <t>Электромонтер</t>
  </si>
  <si>
    <t>%%</t>
  </si>
  <si>
    <t>час.</t>
  </si>
  <si>
    <t>30 мин.</t>
  </si>
  <si>
    <t>45 мин.</t>
  </si>
  <si>
    <t>1 час</t>
  </si>
  <si>
    <t>20 мин.</t>
  </si>
  <si>
    <t>40 мин.</t>
  </si>
  <si>
    <t>Итого</t>
  </si>
  <si>
    <t>Проверка разработанных технических условий на технологическое присоединение</t>
  </si>
  <si>
    <t xml:space="preserve">Водитель </t>
  </si>
  <si>
    <t>Время ожидания</t>
  </si>
  <si>
    <t>Замер токовых нагрузок и напряжения в сети предполагаемого присоединения</t>
  </si>
  <si>
    <t>Выписка наряда-допуска</t>
  </si>
  <si>
    <t>Осуществление контроля за производством работ по технологическому присоединению</t>
  </si>
  <si>
    <t>Работа автогидроподъемника</t>
  </si>
  <si>
    <t>Доставка электромонтеров, материалов и оборудования к месту работ и обратно</t>
  </si>
  <si>
    <t>2 часа</t>
  </si>
  <si>
    <t>мин.</t>
  </si>
  <si>
    <t>чел.ч.</t>
  </si>
  <si>
    <t xml:space="preserve">Проверка выполнения технических условий по технол. присоединению </t>
  </si>
  <si>
    <t>15 мин.</t>
  </si>
  <si>
    <t xml:space="preserve">Устройство ответвлений от ВЛ 0,4 кВ к зданиям </t>
  </si>
  <si>
    <t>Хронометраж работ</t>
  </si>
  <si>
    <t xml:space="preserve">по выдаче технических условий </t>
  </si>
  <si>
    <t xml:space="preserve">Хронометраж работ </t>
  </si>
  <si>
    <t xml:space="preserve">по проверке выполнения технических условий </t>
  </si>
  <si>
    <t>Ознакомление с заявкой на выдачу технических условий на техн. присоединение, рассмотрение поопорной схемы предполагаемого присоединения</t>
  </si>
  <si>
    <t>Расчет по зарплате</t>
  </si>
  <si>
    <t>для калькуляций на технологическое присоединение</t>
  </si>
  <si>
    <t>энергопринимающих устройств юридических и физических лиц</t>
  </si>
  <si>
    <t>Инженер ПТО</t>
  </si>
  <si>
    <t>Начальник ПТО</t>
  </si>
  <si>
    <t>Зарплата начальника ПТО</t>
  </si>
  <si>
    <t>Зарплата инженера ПТО</t>
  </si>
  <si>
    <t>1 час 40 мин.</t>
  </si>
  <si>
    <t>1 час 30 мин.</t>
  </si>
  <si>
    <t>1 часа 30 мин.</t>
  </si>
  <si>
    <t xml:space="preserve">                                                                                                                                    </t>
  </si>
  <si>
    <t xml:space="preserve">            </t>
  </si>
  <si>
    <t xml:space="preserve">проверки выполнения заявителем технических условий на </t>
  </si>
  <si>
    <t>Вспомогательные материалы (ГСМ)</t>
  </si>
  <si>
    <t>Расчёт  расходов  по разработке технических условий</t>
  </si>
  <si>
    <t xml:space="preserve">           Расчёт  расходов </t>
  </si>
  <si>
    <t xml:space="preserve">                    по проверке выполнения  заявителем ТУ</t>
  </si>
  <si>
    <t>Таблица 1</t>
  </si>
  <si>
    <t>Таблица 2</t>
  </si>
  <si>
    <t>№№</t>
  </si>
  <si>
    <t>Состав работ</t>
  </si>
  <si>
    <t>Количество</t>
  </si>
  <si>
    <t>Количество заявок на выдачу   ТУ</t>
  </si>
  <si>
    <t>шт.</t>
  </si>
  <si>
    <t>Количество выданных ТУ</t>
  </si>
  <si>
    <t>Затраты на выдачу одного ТУ</t>
  </si>
  <si>
    <t xml:space="preserve">Затраты на проверку </t>
  </si>
  <si>
    <t>выполнения одного ТУ</t>
  </si>
  <si>
    <t>Суммарные затраты</t>
  </si>
  <si>
    <t>на выдачу ТУ</t>
  </si>
  <si>
    <t>на проверку ТУ</t>
  </si>
  <si>
    <t>Расчёт  расходов по фактическим действиям</t>
  </si>
  <si>
    <t xml:space="preserve"> по технологическому присоединению</t>
  </si>
  <si>
    <t>Таблица 3</t>
  </si>
  <si>
    <t xml:space="preserve">Количество технологических </t>
  </si>
  <si>
    <t>присоединений</t>
  </si>
  <si>
    <t>Затраты по выполнению</t>
  </si>
  <si>
    <t>действий по техприсоединению</t>
  </si>
  <si>
    <t>одного заявителя</t>
  </si>
  <si>
    <t xml:space="preserve">на выполнение действий по </t>
  </si>
  <si>
    <t>присоединению</t>
  </si>
  <si>
    <t xml:space="preserve">                                                                                                  </t>
  </si>
  <si>
    <t xml:space="preserve">                                              Расчёт  расходов по выполнению  действий по присоединению</t>
  </si>
  <si>
    <t>Таблица 4</t>
  </si>
  <si>
    <t>до 15 кВт</t>
  </si>
  <si>
    <t>от 15 до</t>
  </si>
  <si>
    <t>от 150 до</t>
  </si>
  <si>
    <t xml:space="preserve">более </t>
  </si>
  <si>
    <t>Наименование</t>
  </si>
  <si>
    <t xml:space="preserve">Суммарные </t>
  </si>
  <si>
    <t>150 кВт</t>
  </si>
  <si>
    <t>670 кВт</t>
  </si>
  <si>
    <t>расходы, руб.</t>
  </si>
  <si>
    <t>1-0,4 кВ</t>
  </si>
  <si>
    <t>6-10 кВ</t>
  </si>
  <si>
    <t>Разработка ТУ</t>
  </si>
  <si>
    <t>Проверка выполнения</t>
  </si>
  <si>
    <t>ТУ</t>
  </si>
  <si>
    <t xml:space="preserve">Фактичекие действия по </t>
  </si>
  <si>
    <t>Итого расходы</t>
  </si>
  <si>
    <t>Таблица 5</t>
  </si>
  <si>
    <t xml:space="preserve">Наименование </t>
  </si>
  <si>
    <t>Напряжение</t>
  </si>
  <si>
    <t>Ожидаемое кол-</t>
  </si>
  <si>
    <t>Суммарная</t>
  </si>
  <si>
    <t>Планируемые расходы, руб.</t>
  </si>
  <si>
    <t>Коэффициент</t>
  </si>
  <si>
    <t>Ставка</t>
  </si>
  <si>
    <t>категорий</t>
  </si>
  <si>
    <t>присоединения,</t>
  </si>
  <si>
    <t>во выданных ТУ</t>
  </si>
  <si>
    <t>мощность</t>
  </si>
  <si>
    <t xml:space="preserve">                                                  Сетевой компании</t>
  </si>
  <si>
    <t>рентабель-</t>
  </si>
  <si>
    <t>платы за</t>
  </si>
  <si>
    <t>присоединения</t>
  </si>
  <si>
    <t>кВ</t>
  </si>
  <si>
    <t>(заключенных</t>
  </si>
  <si>
    <t>присоединений,</t>
  </si>
  <si>
    <t xml:space="preserve">       расходы на присоединение, Р</t>
  </si>
  <si>
    <t xml:space="preserve">ности </t>
  </si>
  <si>
    <t>тех.присоединение</t>
  </si>
  <si>
    <t>договоров),шт.</t>
  </si>
  <si>
    <t>(N) кВт</t>
  </si>
  <si>
    <t xml:space="preserve">прочие </t>
  </si>
  <si>
    <t>капитальные</t>
  </si>
  <si>
    <t>итого</t>
  </si>
  <si>
    <t>Кп</t>
  </si>
  <si>
    <t>1 кВт (С),</t>
  </si>
  <si>
    <t>расходы (ПР)</t>
  </si>
  <si>
    <t>вложения (КВ)</t>
  </si>
  <si>
    <t>(Р)</t>
  </si>
  <si>
    <t>(без НДС)</t>
  </si>
  <si>
    <t>руб/квт</t>
  </si>
  <si>
    <t>от 15 до 150 кВт</t>
  </si>
  <si>
    <t>1-0,4</t>
  </si>
  <si>
    <t xml:space="preserve"> от 150 до 670 кВт</t>
  </si>
  <si>
    <t>6-10</t>
  </si>
  <si>
    <t xml:space="preserve">                     </t>
  </si>
  <si>
    <t>более 670 кВт</t>
  </si>
  <si>
    <t>ВСЕГО</t>
  </si>
  <si>
    <t>Х</t>
  </si>
  <si>
    <t>Таблица 6</t>
  </si>
  <si>
    <t>Оценка</t>
  </si>
  <si>
    <t>Сумма</t>
  </si>
  <si>
    <t>выпадающих</t>
  </si>
  <si>
    <t>технологическое</t>
  </si>
  <si>
    <t>присоединение,</t>
  </si>
  <si>
    <t>доходов,</t>
  </si>
  <si>
    <t>присоединение</t>
  </si>
  <si>
    <t>расходы</t>
  </si>
  <si>
    <t>1 кВт,</t>
  </si>
  <si>
    <t>(5,5 МРОТ)</t>
  </si>
  <si>
    <t>(ПР)</t>
  </si>
  <si>
    <t>руб/квт (без НДС)</t>
  </si>
  <si>
    <t xml:space="preserve"> с НДС</t>
  </si>
  <si>
    <t>Заявители</t>
  </si>
  <si>
    <t xml:space="preserve"> до 15 кВт</t>
  </si>
  <si>
    <t>Таблица 7</t>
  </si>
  <si>
    <t>Показатель</t>
  </si>
  <si>
    <t xml:space="preserve">Единица </t>
  </si>
  <si>
    <t>измерения</t>
  </si>
  <si>
    <t xml:space="preserve">Капитальные затраты на технологическое присоединение к </t>
  </si>
  <si>
    <t>электрическим сетям</t>
  </si>
  <si>
    <t>1.1.</t>
  </si>
  <si>
    <t xml:space="preserve">                                                                  в т.ч. налог на прибыль</t>
  </si>
  <si>
    <t>Расходы на технологическое присоединение</t>
  </si>
  <si>
    <t>2.1.</t>
  </si>
  <si>
    <t>разработка технических условий</t>
  </si>
  <si>
    <t>2.2.</t>
  </si>
  <si>
    <t>проверка исполнения технических условий</t>
  </si>
  <si>
    <t>2.3.</t>
  </si>
  <si>
    <t>выполнение техусловий  сетевой  организацией</t>
  </si>
  <si>
    <t>2.4.</t>
  </si>
  <si>
    <t>выполнение действий по техприсоединению</t>
  </si>
  <si>
    <t>Сумма выпадающих (излишне полученных) доходов</t>
  </si>
  <si>
    <t>ИТОГО</t>
  </si>
  <si>
    <t>Суммарная подключаемая мощность</t>
  </si>
  <si>
    <t>квт.</t>
  </si>
  <si>
    <t>№ п.п.</t>
  </si>
  <si>
    <t>Показатели</t>
  </si>
  <si>
    <t>1.</t>
  </si>
  <si>
    <t>Расходы по выполнению мероприятий по технологическому присоединению, всего</t>
  </si>
  <si>
    <t>Вспомогательные материалы</t>
  </si>
  <si>
    <t>1.2.</t>
  </si>
  <si>
    <t>Энергия на хозяйственные нужды</t>
  </si>
  <si>
    <t>1.3.</t>
  </si>
  <si>
    <t xml:space="preserve">Оплата труда  ППП </t>
  </si>
  <si>
    <t>1.4.</t>
  </si>
  <si>
    <t>Отчисления на страховые взносы</t>
  </si>
  <si>
    <t>1.5.</t>
  </si>
  <si>
    <t>Прочие расходы всего, в том числе:</t>
  </si>
  <si>
    <t>1.5.1.</t>
  </si>
  <si>
    <t>работы и услуги производственного характера</t>
  </si>
  <si>
    <t>1.5.2.</t>
  </si>
  <si>
    <t>налоги и сборы, уменьшающие налого-облагаемую базу на прибыль организаций, всего</t>
  </si>
  <si>
    <t>1.5.3.</t>
  </si>
  <si>
    <t>работы и услуги непроизводственного характера, в т.ч.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</si>
  <si>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</si>
  <si>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</si>
  <si>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</si>
  <si>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</si>
  <si>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</si>
  <si>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</si>
  <si>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</si>
  <si>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</si>
  <si>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</si>
  <si>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</si>
  <si>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</si>
  <si>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</si>
  <si>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</si>
  <si>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расходы на услуги банков</t>
  </si>
  <si>
    <t>1.6.2.</t>
  </si>
  <si>
    <t>% за пользование кредитом</t>
  </si>
  <si>
    <t>1.6.3.</t>
  </si>
  <si>
    <t>прочие обоснованные расходы</t>
  </si>
  <si>
    <t>1.6.4.</t>
  </si>
  <si>
    <t>денежные выплаты социального характера (по коллективному договору)</t>
  </si>
  <si>
    <t>1.6.6.</t>
  </si>
  <si>
    <t>другие расходы из прибыли</t>
  </si>
  <si>
    <t>2.</t>
  </si>
  <si>
    <t>3.</t>
  </si>
  <si>
    <t>Выпадающие доходы/экономия средств</t>
  </si>
  <si>
    <t>4.</t>
  </si>
  <si>
    <t>Необходимая валовая выручка (сумма п.1-3)</t>
  </si>
  <si>
    <r>
      <t xml:space="preserve">Стандартизированная тарифная ставка С </t>
    </r>
    <r>
      <rPr>
        <b/>
        <vertAlign val="subscript"/>
        <sz val="10"/>
        <rFont val="Arial Cyr"/>
        <family val="0"/>
      </rPr>
      <t>1</t>
    </r>
  </si>
  <si>
    <t>(руб./кВт)</t>
  </si>
  <si>
    <t>№    п/п</t>
  </si>
  <si>
    <t>Наименование мероприятий</t>
  </si>
  <si>
    <t>Разбивка НВВ по каждому мероприятию, (руб.)</t>
  </si>
  <si>
    <t>Объем максимальной мощности,    (кВт)</t>
  </si>
  <si>
    <t>Ставки для расчета платы по каждому мероприятию,  (руб./кВт)</t>
  </si>
  <si>
    <t>I.</t>
  </si>
  <si>
    <r>
      <t>Ставка платы за технологическое присоединение мощностью от 15 до 150 кВт по НН   С</t>
    </r>
    <r>
      <rPr>
        <b/>
        <i/>
        <vertAlign val="subscript"/>
        <sz val="10"/>
        <rFont val="Arial Cyr"/>
        <family val="0"/>
      </rPr>
      <t>1</t>
    </r>
  </si>
  <si>
    <t>Подготовка и выдача сетевой организацией технических условий Заявителю (ТУ)</t>
  </si>
  <si>
    <t>1.1</t>
  </si>
  <si>
    <t>1.2</t>
  </si>
  <si>
    <t>Оплата труда  ППП (без ЕСН)</t>
  </si>
  <si>
    <t>1.3</t>
  </si>
  <si>
    <t>Отчисления на социальные нужды</t>
  </si>
  <si>
    <t>1.4</t>
  </si>
  <si>
    <t>Прочие расходы</t>
  </si>
  <si>
    <t>1.5</t>
  </si>
  <si>
    <t>Внереализационные расходы</t>
  </si>
  <si>
    <t>Разработка сетевой организацией проектной документаци, всего</t>
  </si>
  <si>
    <t>Выполнение сетевой организацией мероприятий, связанных со строительством</t>
  </si>
  <si>
    <t>3.1</t>
  </si>
  <si>
    <t>строительство воздушных  линий</t>
  </si>
  <si>
    <t>3.2</t>
  </si>
  <si>
    <t>строительство кабельных линий</t>
  </si>
  <si>
    <t>3.3</t>
  </si>
  <si>
    <t>строительство пунктов секционирования</t>
  </si>
  <si>
    <t>3.4</t>
  </si>
  <si>
    <t>строительство комплектных трансформаторных подстанций (КТП), распределительных трансформаторных подстанций (РТП) с классом напряжения до 35 кВ</t>
  </si>
  <si>
    <t>3.5</t>
  </si>
  <si>
    <t>строительство центров питания, подстанций классом напряжения 35 кВ и выше (ПС)</t>
  </si>
  <si>
    <t xml:space="preserve">Проверка сетевой организацией выполнения Заявителем  ТУ </t>
  </si>
  <si>
    <t>2.1</t>
  </si>
  <si>
    <t>2.2</t>
  </si>
  <si>
    <t>2.3</t>
  </si>
  <si>
    <t>2.4</t>
  </si>
  <si>
    <t>2.5</t>
  </si>
  <si>
    <t>Участие в осмотре должностным лицом Ростехнадзора присоединяемых Устройств Заявителя</t>
  </si>
  <si>
    <t>Фактические действия по присоединению и обеспечению работы Устройств в электрической сети</t>
  </si>
  <si>
    <t>4.1</t>
  </si>
  <si>
    <t>4.2</t>
  </si>
  <si>
    <t>4.3</t>
  </si>
  <si>
    <t>4.4</t>
  </si>
  <si>
    <t>4.5</t>
  </si>
  <si>
    <t>II.</t>
  </si>
  <si>
    <r>
      <t>Ставка платы за технологическое присоединение мощностью от 150 до 670 кВт по НН  С</t>
    </r>
    <r>
      <rPr>
        <b/>
        <i/>
        <vertAlign val="subscript"/>
        <sz val="10"/>
        <rFont val="Arial Cyr"/>
        <family val="0"/>
      </rPr>
      <t>1</t>
    </r>
  </si>
  <si>
    <t>III.</t>
  </si>
  <si>
    <r>
      <t>Ставка платы за технологическое присоединение мощностью от 15 до 150 кВт по CН II   С</t>
    </r>
    <r>
      <rPr>
        <b/>
        <i/>
        <vertAlign val="subscript"/>
        <sz val="10"/>
        <rFont val="Arial Cyr"/>
        <family val="0"/>
      </rPr>
      <t>1</t>
    </r>
  </si>
  <si>
    <t>IV.</t>
  </si>
  <si>
    <r>
      <t>Ставка за технологическое присоединение мощностью от 150 до 670 кВт по CН II     С</t>
    </r>
    <r>
      <rPr>
        <b/>
        <i/>
        <vertAlign val="subscript"/>
        <sz val="10"/>
        <rFont val="Arial Cyr"/>
        <family val="0"/>
      </rPr>
      <t>1</t>
    </r>
  </si>
  <si>
    <t>V.</t>
  </si>
  <si>
    <r>
      <t>Средняя ставка платы за технологическое присоединение  за 1 кВт. мощности  С</t>
    </r>
    <r>
      <rPr>
        <b/>
        <i/>
        <vertAlign val="subscript"/>
        <sz val="10"/>
        <rFont val="Arial Cyr"/>
        <family val="0"/>
      </rPr>
      <t>1</t>
    </r>
  </si>
  <si>
    <t>Энергия на хозяйственые нужды</t>
  </si>
  <si>
    <t>налоги,  всего</t>
  </si>
  <si>
    <t>Прочие расходы, всего, в том числе</t>
  </si>
  <si>
    <t xml:space="preserve">денежные выплаты социального характера </t>
  </si>
  <si>
    <t>1.6.5.</t>
  </si>
  <si>
    <t xml:space="preserve">Расходы по выполнению мероприятий по технологическому присоединению, всего </t>
  </si>
  <si>
    <t>Расходы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</si>
  <si>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(тыс.руб./кВт)</t>
  </si>
  <si>
    <t>(тыс.руб.)</t>
  </si>
  <si>
    <t>Зарплата начальника РЭС</t>
  </si>
  <si>
    <t>Начальник РЭС</t>
  </si>
  <si>
    <t>Ведущий экономист</t>
  </si>
  <si>
    <t>Зарплата ведущего экономиста</t>
  </si>
  <si>
    <t>ЕСН на зарплату начальника РЭС</t>
  </si>
  <si>
    <t>ЕСН на зарплату  инженера ПТО</t>
  </si>
  <si>
    <t>ЕСН на зарплату  начальника ПТО</t>
  </si>
  <si>
    <t>ЕСН на  зарплату водителя</t>
  </si>
  <si>
    <t>ЕСН на  зарплату начальника РЭС</t>
  </si>
  <si>
    <t>ЕСН на  зарплату инженера ПТО</t>
  </si>
  <si>
    <t>ЕСН на зарплату ведущего экономиста</t>
  </si>
  <si>
    <t xml:space="preserve">стоимости подготовки и выдачи технических условий на </t>
  </si>
  <si>
    <t xml:space="preserve">на фактические действия по технологическому присоединению </t>
  </si>
  <si>
    <t>Главный инженер</t>
  </si>
  <si>
    <t>Зарплата главного инженера</t>
  </si>
  <si>
    <t>ЕСН на зарплату главного инженера</t>
  </si>
  <si>
    <t>Среднее время работы, чел./час.</t>
  </si>
  <si>
    <t>Среднее время работы,          чел./ час.</t>
  </si>
  <si>
    <t>Среднее время работы, чел./ час.</t>
  </si>
  <si>
    <t>Среднее время работы,  чел./час.</t>
  </si>
  <si>
    <t>по фактическим действиям по  технолог. присоединению</t>
  </si>
  <si>
    <t>Стоимость работы  1 чел./ час</t>
  </si>
  <si>
    <t>Стоимость работы             1 чел./ час</t>
  </si>
  <si>
    <t>5 часа 55 мин.</t>
  </si>
  <si>
    <t>Участие в разработке ТУ на техн. присоединение объектов электроснабжения</t>
  </si>
  <si>
    <t xml:space="preserve"> 40 мин</t>
  </si>
  <si>
    <t>Ознакомление с присоединяемым объектом, технический осмотр присоединяемых энерго-принимающих устройств, определение точки присоединения</t>
  </si>
  <si>
    <t>Разработка технических условий на технологическое присоединение, согласование ТУ и подготовка договора на технологическое присоединение.Расчет размера платы за технологическое присоединение</t>
  </si>
  <si>
    <t>Составление акта о выполнении технических условий</t>
  </si>
  <si>
    <t>Проверка выполнения технических условий по технол. присоединению, осмотр прибора учета электроэнергии</t>
  </si>
  <si>
    <t>Проверка схемы включения приборов учета электроэнергии и составление акта ввода</t>
  </si>
  <si>
    <t>Составление актов разграничения балансовой и эксплуатационной ответственности электроустановок</t>
  </si>
  <si>
    <t>Составление акта о тех.присоединении,подготовка распоряжения на включение электроустановки под рабочее напряжение</t>
  </si>
  <si>
    <t>Утверждение распоряжения на включение электроустановки под рабочее напряжение</t>
  </si>
  <si>
    <t>Расчеты валовой выручки, необходимой для осуществления технологического присоединения, расчет ставок за единицу мощности</t>
  </si>
  <si>
    <r>
      <rPr>
        <sz val="10"/>
        <rFont val="Arial Cyr"/>
        <family val="0"/>
      </rPr>
      <t>15 мин</t>
    </r>
    <r>
      <rPr>
        <b/>
        <sz val="10"/>
        <rFont val="Arial Cyr"/>
        <family val="0"/>
      </rPr>
      <t>.</t>
    </r>
  </si>
  <si>
    <t>Выезд на место, обратная дорога</t>
  </si>
  <si>
    <t>Выезд до места нахождения присоединяемого объекта, обратная дорога</t>
  </si>
  <si>
    <t>2 час 15 мин</t>
  </si>
  <si>
    <t>2 час 45 мин.</t>
  </si>
  <si>
    <t>4 часа</t>
  </si>
  <si>
    <t>Электромонтеры (2 человека)</t>
  </si>
  <si>
    <t xml:space="preserve">Учет поступления денежных средств и  фактических затрат по технологическому присоединению </t>
  </si>
  <si>
    <t xml:space="preserve">технологическое присоединение к электрическим сетям </t>
  </si>
  <si>
    <t xml:space="preserve">и обеспечению работы устройств в электрической сети </t>
  </si>
  <si>
    <t>ЕСН на  зарплату главного инженера</t>
  </si>
  <si>
    <t>ЕСН на  зарплату электромонтеров</t>
  </si>
  <si>
    <t>Вспомогательные материалы (ГСМ, смазочные материалы)</t>
  </si>
  <si>
    <t>Расходы по мероприятиям "последней мили", связанные с осуществлением технологического присоединения</t>
  </si>
  <si>
    <t xml:space="preserve">      на  2017 год </t>
  </si>
  <si>
    <t xml:space="preserve">           Расчёт размера платы за технологическое присоединение (планируемый на 2017год)</t>
  </si>
  <si>
    <t xml:space="preserve">           Расчёт размера платы за технологическое присоединение (планируемый на 2017 год)</t>
  </si>
  <si>
    <t>Объём финансовой деятельности по технологическому присоединению на 2017год</t>
  </si>
  <si>
    <t xml:space="preserve">Предложения МЭТСК                     НВВ  на 2017 год </t>
  </si>
  <si>
    <t>по АО "Мордовская электросеть"</t>
  </si>
  <si>
    <t xml:space="preserve">                                         по АО "Мордовская электросеть" на 2017 год</t>
  </si>
  <si>
    <t>к электрическим сетям  АО "Мордовская электросеть"</t>
  </si>
  <si>
    <t xml:space="preserve"> АО "Мордовская электросеть" на 2017 год</t>
  </si>
  <si>
    <t>Калькуляция стоимости мероприятий, осуществляемых при технологическом присоединении  единицы мощности  (1 кВт), по  АО "Мордовская электросеть" на 2017 год</t>
  </si>
  <si>
    <t>Калькуляция стоимости мероприятий, осуществляемых при технологическом присоединении  единицы мощности      (1 кВт),  по  АО "Мордовская электросеть" на 2017 год</t>
  </si>
  <si>
    <t>Ставки за единицу максимальной мощности для определения платы за технологическое присоединение к электрическим сетям АО "Мордовская электросеть" на 2017 год</t>
  </si>
  <si>
    <t>Старший бухгалтер</t>
  </si>
  <si>
    <t>Начальник отдела сбыта энергоресурсов</t>
  </si>
  <si>
    <t>Специалист отдела сбыта энергоресурсов</t>
  </si>
  <si>
    <t>Зарплата начальника отдела сбыта энергоресурсов</t>
  </si>
  <si>
    <t>Зарплата специалиста отдела сбыта энергоресурсов</t>
  </si>
  <si>
    <t>ЕСН на  зарплату  начальника отдела сбыта энергоресурсов</t>
  </si>
  <si>
    <t>ЕСН на зарплату специалиста отдела сбыта энергоресурсов</t>
  </si>
  <si>
    <t>Старший мастер</t>
  </si>
  <si>
    <t xml:space="preserve">Зарплата старшего мастера </t>
  </si>
  <si>
    <t xml:space="preserve">ЕСН на зарплату старшего мастера </t>
  </si>
  <si>
    <t>Зарплата старшего бухгалтера</t>
  </si>
  <si>
    <t>ЕСН на зарплату старшего бухгалтера</t>
  </si>
  <si>
    <t>(гр.2+гр.4)</t>
  </si>
  <si>
    <t>гр.5 / гр.6</t>
  </si>
  <si>
    <t>Старший мастер участка</t>
  </si>
  <si>
    <t xml:space="preserve">1 час </t>
  </si>
  <si>
    <t>АО "Мордовская электросеть" на 2017 год</t>
  </si>
  <si>
    <t>АО "Мордовская электросеть"</t>
  </si>
  <si>
    <t xml:space="preserve">      АО "Мордовская электросеть" на  2017 год </t>
  </si>
  <si>
    <t>на участие в осмотре должностным лицом Ростехнадзора присоединяемых устройств заявителя на 2017 год</t>
  </si>
  <si>
    <t>Предложения МЭТСК                         Прогнозные  показатели на 2017 год по заявителям с присоединяемой мощностью свыше 15 кВт</t>
  </si>
  <si>
    <t xml:space="preserve">Расчет необходимой валовой выручки на  технологическое присоединение по                                                                                                            АО "Мордовская электросеть"  на 2017 год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</si>
</sst>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%"/>
    <numFmt numFmtId="171" formatCode="0.00;[Red]0.00"/>
    <numFmt numFmtId="172" formatCode="#,##0.0"/>
  </numFmts>
  <fonts count="60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sz val="14"/>
      <name val="Times New Roman"/>
      <family val="1"/>
    </font>
    <font>
      <sz val="9"/>
      <name val="Arial Cyr"/>
      <family val="2"/>
    </font>
    <font>
      <b/>
      <sz val="14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sz val="13"/>
      <name val="Arial Cyr"/>
      <family val="2"/>
    </font>
    <font>
      <sz val="11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color indexed="9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b/>
      <vertAlign val="subscript"/>
      <sz val="10"/>
      <name val="Arial Cyr"/>
      <family val="0"/>
    </font>
    <font>
      <b/>
      <i/>
      <vertAlign val="subscript"/>
      <sz val="10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9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9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5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1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1" fontId="17" fillId="0" borderId="11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2" fontId="17" fillId="0" borderId="11" xfId="0" applyNumberFormat="1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2" fontId="17" fillId="0" borderId="12" xfId="0" applyNumberFormat="1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2" fontId="17" fillId="0" borderId="14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3" xfId="0" applyFont="1" applyBorder="1" applyAlignment="1">
      <alignment/>
    </xf>
    <xf numFmtId="2" fontId="17" fillId="0" borderId="12" xfId="0" applyNumberFormat="1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7" fillId="33" borderId="0" xfId="0" applyFont="1" applyFill="1" applyAlignment="1">
      <alignment/>
    </xf>
    <xf numFmtId="0" fontId="18" fillId="0" borderId="1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33" borderId="0" xfId="0" applyFont="1" applyFill="1" applyAlignment="1">
      <alignment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left"/>
    </xf>
    <xf numFmtId="0" fontId="18" fillId="0" borderId="1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18" xfId="0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5" fontId="17" fillId="33" borderId="0" xfId="0" applyNumberFormat="1" applyFont="1" applyFill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/>
    </xf>
    <xf numFmtId="0" fontId="0" fillId="33" borderId="0" xfId="0" applyFont="1" applyFill="1" applyAlignment="1">
      <alignment/>
    </xf>
    <xf numFmtId="1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33" borderId="0" xfId="0" applyNumberFormat="1" applyFont="1" applyFill="1" applyBorder="1" applyAlignment="1">
      <alignment/>
    </xf>
    <xf numFmtId="0" fontId="19" fillId="33" borderId="0" xfId="0" applyFont="1" applyFill="1" applyAlignment="1">
      <alignment/>
    </xf>
    <xf numFmtId="0" fontId="18" fillId="33" borderId="11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16" fontId="0" fillId="0" borderId="11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4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0" xfId="0" applyFont="1" applyFill="1" applyBorder="1" applyAlignment="1">
      <alignment/>
    </xf>
    <xf numFmtId="1" fontId="17" fillId="0" borderId="12" xfId="0" applyNumberFormat="1" applyFont="1" applyBorder="1" applyAlignment="1">
      <alignment/>
    </xf>
    <xf numFmtId="16" fontId="17" fillId="0" borderId="10" xfId="0" applyNumberFormat="1" applyFont="1" applyBorder="1" applyAlignment="1">
      <alignment horizontal="center"/>
    </xf>
    <xf numFmtId="1" fontId="17" fillId="0" borderId="21" xfId="0" applyNumberFormat="1" applyFont="1" applyBorder="1" applyAlignment="1">
      <alignment/>
    </xf>
    <xf numFmtId="0" fontId="17" fillId="0" borderId="10" xfId="0" applyFont="1" applyBorder="1" applyAlignment="1">
      <alignment/>
    </xf>
    <xf numFmtId="1" fontId="17" fillId="0" borderId="10" xfId="0" applyNumberFormat="1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 shrinkToFit="1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wrapText="1"/>
    </xf>
    <xf numFmtId="2" fontId="8" fillId="0" borderId="1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9" fontId="0" fillId="0" borderId="11" xfId="0" applyNumberFormat="1" applyBorder="1" applyAlignment="1">
      <alignment horizontal="center"/>
    </xf>
    <xf numFmtId="0" fontId="0" fillId="0" borderId="26" xfId="0" applyBorder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165" fontId="0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1" fillId="0" borderId="16" xfId="0" applyFont="1" applyBorder="1" applyAlignment="1">
      <alignment vertical="center"/>
    </xf>
    <xf numFmtId="0" fontId="0" fillId="0" borderId="24" xfId="0" applyBorder="1" applyAlignment="1">
      <alignment/>
    </xf>
    <xf numFmtId="0" fontId="1" fillId="0" borderId="19" xfId="0" applyFont="1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1" fillId="0" borderId="19" xfId="0" applyFont="1" applyBorder="1" applyAlignment="1">
      <alignment vertical="center"/>
    </xf>
    <xf numFmtId="0" fontId="0" fillId="0" borderId="21" xfId="0" applyBorder="1" applyAlignment="1">
      <alignment vertical="center" wrapText="1"/>
    </xf>
    <xf numFmtId="0" fontId="8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2" fontId="8" fillId="0" borderId="23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9" fontId="0" fillId="0" borderId="10" xfId="0" applyNumberFormat="1" applyBorder="1" applyAlignment="1">
      <alignment horizontal="right"/>
    </xf>
    <xf numFmtId="170" fontId="0" fillId="0" borderId="10" xfId="0" applyNumberFormat="1" applyBorder="1" applyAlignment="1">
      <alignment horizontal="right"/>
    </xf>
    <xf numFmtId="9" fontId="1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33" borderId="12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17" fillId="0" borderId="11" xfId="0" applyNumberFormat="1" applyFont="1" applyBorder="1" applyAlignment="1">
      <alignment horizontal="right"/>
    </xf>
    <xf numFmtId="4" fontId="17" fillId="0" borderId="22" xfId="0" applyNumberFormat="1" applyFont="1" applyBorder="1" applyAlignment="1">
      <alignment horizontal="right"/>
    </xf>
    <xf numFmtId="4" fontId="17" fillId="0" borderId="15" xfId="0" applyNumberFormat="1" applyFont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/>
    </xf>
    <xf numFmtId="4" fontId="17" fillId="0" borderId="10" xfId="0" applyNumberFormat="1" applyFont="1" applyBorder="1" applyAlignment="1">
      <alignment horizontal="right"/>
    </xf>
    <xf numFmtId="4" fontId="17" fillId="0" borderId="16" xfId="0" applyNumberFormat="1" applyFont="1" applyBorder="1" applyAlignment="1">
      <alignment horizontal="right"/>
    </xf>
    <xf numFmtId="4" fontId="17" fillId="0" borderId="12" xfId="0" applyNumberFormat="1" applyFont="1" applyBorder="1" applyAlignment="1">
      <alignment horizontal="right"/>
    </xf>
    <xf numFmtId="4" fontId="17" fillId="0" borderId="13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24" fillId="0" borderId="12" xfId="0" applyNumberFormat="1" applyFont="1" applyBorder="1" applyAlignment="1">
      <alignment horizontal="right"/>
    </xf>
    <xf numFmtId="4" fontId="24" fillId="0" borderId="10" xfId="0" applyNumberFormat="1" applyFont="1" applyBorder="1" applyAlignment="1">
      <alignment horizontal="right"/>
    </xf>
    <xf numFmtId="4" fontId="24" fillId="0" borderId="26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4" fillId="0" borderId="27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4" fontId="8" fillId="0" borderId="25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3" fontId="10" fillId="34" borderId="10" xfId="0" applyNumberFormat="1" applyFon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0" fontId="0" fillId="34" borderId="23" xfId="0" applyFill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9" fontId="0" fillId="34" borderId="10" xfId="0" applyNumberFormat="1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4" fontId="17" fillId="34" borderId="10" xfId="0" applyNumberFormat="1" applyFont="1" applyFill="1" applyBorder="1" applyAlignment="1">
      <alignment/>
    </xf>
    <xf numFmtId="4" fontId="15" fillId="34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2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 shrinkToFit="1"/>
    </xf>
    <xf numFmtId="0" fontId="8" fillId="0" borderId="12" xfId="0" applyFont="1" applyBorder="1" applyAlignment="1">
      <alignment horizontal="center" wrapText="1" shrinkToFi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" fontId="8" fillId="0" borderId="11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0</xdr:rowOff>
    </xdr:from>
    <xdr:to>
      <xdr:col>3</xdr:col>
      <xdr:colOff>9525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819525" y="971550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1" name="Line 8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2" name="Line 9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3" name="Line 10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15</xdr:row>
      <xdr:rowOff>0</xdr:rowOff>
    </xdr:to>
    <xdr:sp>
      <xdr:nvSpPr>
        <xdr:cNvPr id="4" name="Line 11"/>
        <xdr:cNvSpPr>
          <a:spLocks/>
        </xdr:cNvSpPr>
      </xdr:nvSpPr>
      <xdr:spPr>
        <a:xfrm>
          <a:off x="1800225" y="20764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5" name="Line 18"/>
        <xdr:cNvSpPr>
          <a:spLocks/>
        </xdr:cNvSpPr>
      </xdr:nvSpPr>
      <xdr:spPr>
        <a:xfrm>
          <a:off x="248602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28</xdr:row>
      <xdr:rowOff>9525</xdr:rowOff>
    </xdr:to>
    <xdr:sp>
      <xdr:nvSpPr>
        <xdr:cNvPr id="6" name="Line 19"/>
        <xdr:cNvSpPr>
          <a:spLocks/>
        </xdr:cNvSpPr>
      </xdr:nvSpPr>
      <xdr:spPr>
        <a:xfrm>
          <a:off x="2486025" y="44386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7" name="Line 20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8" name="Line 21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9" name="Line 22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114300</xdr:rowOff>
    </xdr:from>
    <xdr:to>
      <xdr:col>2</xdr:col>
      <xdr:colOff>0</xdr:colOff>
      <xdr:row>12</xdr:row>
      <xdr:rowOff>114300</xdr:rowOff>
    </xdr:to>
    <xdr:sp>
      <xdr:nvSpPr>
        <xdr:cNvPr id="10" name="Line 23"/>
        <xdr:cNvSpPr>
          <a:spLocks/>
        </xdr:cNvSpPr>
      </xdr:nvSpPr>
      <xdr:spPr>
        <a:xfrm>
          <a:off x="18002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2</xdr:col>
      <xdr:colOff>0</xdr:colOff>
      <xdr:row>13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1800225" y="2352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12" name="Line 25"/>
        <xdr:cNvSpPr>
          <a:spLocks/>
        </xdr:cNvSpPr>
      </xdr:nvSpPr>
      <xdr:spPr>
        <a:xfrm>
          <a:off x="1800225" y="2514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%20&#1053;&#1042;&#1042;%20&#1090;&#1077;&#1093;&#1087;&#1088;&#1080;&#1089;&#1086;&#1077;&#1076;.2014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ы 1-3"/>
      <sheetName val="таблица 4"/>
      <sheetName val="таблицы5-6"/>
      <sheetName val="таблица7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5.75390625" style="6" customWidth="1"/>
    <col min="2" max="2" width="38.625" style="0" customWidth="1"/>
    <col min="3" max="3" width="9.25390625" style="0" customWidth="1"/>
    <col min="4" max="4" width="25.00390625" style="0" hidden="1" customWidth="1"/>
    <col min="5" max="5" width="22.375" style="0" customWidth="1"/>
    <col min="6" max="6" width="18.125" style="0" customWidth="1"/>
    <col min="7" max="7" width="19.625" style="0" customWidth="1"/>
    <col min="8" max="8" width="11.375" style="0" customWidth="1"/>
  </cols>
  <sheetData>
    <row r="1" spans="1:7" ht="18.75">
      <c r="A1" s="18"/>
      <c r="B1" s="1"/>
      <c r="C1" s="27"/>
      <c r="D1" s="1"/>
      <c r="E1" s="1"/>
      <c r="F1" s="1"/>
      <c r="G1" s="1"/>
    </row>
    <row r="2" spans="1:8" ht="15">
      <c r="A2" s="327" t="s">
        <v>2</v>
      </c>
      <c r="B2" s="327"/>
      <c r="C2" s="327"/>
      <c r="D2" s="327"/>
      <c r="E2" s="327"/>
      <c r="F2" s="327"/>
      <c r="G2" s="327"/>
      <c r="H2" s="4"/>
    </row>
    <row r="3" spans="1:8" ht="15.75">
      <c r="A3" s="327" t="s">
        <v>318</v>
      </c>
      <c r="B3" s="327"/>
      <c r="C3" s="327"/>
      <c r="D3" s="327"/>
      <c r="E3" s="327"/>
      <c r="F3" s="327"/>
      <c r="G3" s="327"/>
      <c r="H3" s="2"/>
    </row>
    <row r="4" spans="1:8" ht="15.75">
      <c r="A4" s="327" t="s">
        <v>350</v>
      </c>
      <c r="B4" s="327"/>
      <c r="C4" s="327"/>
      <c r="D4" s="327"/>
      <c r="E4" s="327"/>
      <c r="F4" s="327"/>
      <c r="G4" s="327"/>
      <c r="H4" s="2"/>
    </row>
    <row r="5" spans="1:9" ht="15.75">
      <c r="A5" s="327" t="s">
        <v>384</v>
      </c>
      <c r="B5" s="327"/>
      <c r="C5" s="327"/>
      <c r="D5" s="327"/>
      <c r="E5" s="327"/>
      <c r="F5" s="327"/>
      <c r="G5" s="327"/>
      <c r="H5" s="2"/>
      <c r="I5" t="s">
        <v>0</v>
      </c>
    </row>
    <row r="7" spans="1:8" ht="26.25" customHeight="1">
      <c r="A7" s="14" t="s">
        <v>10</v>
      </c>
      <c r="B7" s="14" t="s">
        <v>8</v>
      </c>
      <c r="C7" s="14" t="s">
        <v>9</v>
      </c>
      <c r="D7" s="14" t="s">
        <v>5</v>
      </c>
      <c r="E7" s="15" t="s">
        <v>328</v>
      </c>
      <c r="F7" s="15" t="s">
        <v>323</v>
      </c>
      <c r="G7" s="15" t="s">
        <v>12</v>
      </c>
      <c r="H7" s="6"/>
    </row>
    <row r="8" spans="1:8" ht="26.25" customHeight="1">
      <c r="A8" s="19">
        <v>1</v>
      </c>
      <c r="B8" s="208" t="s">
        <v>307</v>
      </c>
      <c r="C8" s="19" t="s">
        <v>4</v>
      </c>
      <c r="D8" s="14"/>
      <c r="E8" s="81">
        <f>зарплата!G13</f>
        <v>192.4</v>
      </c>
      <c r="F8" s="20">
        <v>1.67</v>
      </c>
      <c r="G8" s="81">
        <f aca="true" t="shared" si="0" ref="G8:G16">E8*F8</f>
        <v>321.308</v>
      </c>
      <c r="H8" s="6"/>
    </row>
    <row r="9" spans="1:7" ht="21" customHeight="1">
      <c r="A9" s="19">
        <v>2</v>
      </c>
      <c r="B9" s="20" t="s">
        <v>67</v>
      </c>
      <c r="C9" s="19" t="s">
        <v>4</v>
      </c>
      <c r="D9" s="20" t="s">
        <v>24</v>
      </c>
      <c r="E9" s="81">
        <f>зарплата!G18</f>
        <v>116.8</v>
      </c>
      <c r="F9" s="20">
        <v>5.92</v>
      </c>
      <c r="G9" s="81">
        <f t="shared" si="0"/>
        <v>691.456</v>
      </c>
    </row>
    <row r="10" spans="1:7" ht="18.75" customHeight="1">
      <c r="A10" s="19">
        <v>3</v>
      </c>
      <c r="B10" s="20" t="s">
        <v>66</v>
      </c>
      <c r="C10" s="19" t="s">
        <v>4</v>
      </c>
      <c r="D10" s="20" t="s">
        <v>18</v>
      </c>
      <c r="E10" s="81">
        <f>зарплата!G19</f>
        <v>283.5</v>
      </c>
      <c r="F10" s="20">
        <v>0.67</v>
      </c>
      <c r="G10" s="81">
        <f t="shared" si="0"/>
        <v>189.94500000000002</v>
      </c>
    </row>
    <row r="11" spans="1:7" ht="21" customHeight="1">
      <c r="A11" s="19">
        <v>4</v>
      </c>
      <c r="B11" s="20" t="s">
        <v>3</v>
      </c>
      <c r="C11" s="19" t="s">
        <v>4</v>
      </c>
      <c r="D11" s="28" t="s">
        <v>25</v>
      </c>
      <c r="E11" s="81">
        <f>зарплата!G20</f>
        <v>123.7</v>
      </c>
      <c r="F11" s="20">
        <v>1.67</v>
      </c>
      <c r="G11" s="81">
        <f t="shared" si="0"/>
        <v>206.579</v>
      </c>
    </row>
    <row r="12" spans="1:7" ht="22.5" customHeight="1">
      <c r="A12" s="19">
        <v>5</v>
      </c>
      <c r="B12" s="22" t="s">
        <v>311</v>
      </c>
      <c r="C12" s="19" t="s">
        <v>4</v>
      </c>
      <c r="D12" s="20" t="s">
        <v>15</v>
      </c>
      <c r="E12" s="81">
        <f>E8*0.302</f>
        <v>58.1048</v>
      </c>
      <c r="F12" s="20">
        <v>1.67</v>
      </c>
      <c r="G12" s="81">
        <f>E12*F12</f>
        <v>97.03501599999998</v>
      </c>
    </row>
    <row r="13" spans="1:7" ht="22.5" customHeight="1">
      <c r="A13" s="19">
        <v>6</v>
      </c>
      <c r="B13" s="22" t="s">
        <v>312</v>
      </c>
      <c r="C13" s="19" t="s">
        <v>4</v>
      </c>
      <c r="D13" s="20" t="s">
        <v>15</v>
      </c>
      <c r="E13" s="81">
        <f>E9*0.302</f>
        <v>35.273599999999995</v>
      </c>
      <c r="F13" s="20">
        <v>5.92</v>
      </c>
      <c r="G13" s="81">
        <f t="shared" si="0"/>
        <v>208.81971199999995</v>
      </c>
    </row>
    <row r="14" spans="1:7" ht="21" customHeight="1">
      <c r="A14" s="19">
        <v>7</v>
      </c>
      <c r="B14" s="22" t="s">
        <v>313</v>
      </c>
      <c r="C14" s="19" t="s">
        <v>4</v>
      </c>
      <c r="D14" s="20" t="s">
        <v>7</v>
      </c>
      <c r="E14" s="81">
        <f>E10*0.302</f>
        <v>85.617</v>
      </c>
      <c r="F14" s="20">
        <v>0.67</v>
      </c>
      <c r="G14" s="81">
        <f t="shared" si="0"/>
        <v>57.36339000000001</v>
      </c>
    </row>
    <row r="15" spans="1:7" ht="20.25" customHeight="1">
      <c r="A15" s="19">
        <v>8</v>
      </c>
      <c r="B15" s="22" t="s">
        <v>314</v>
      </c>
      <c r="C15" s="19" t="s">
        <v>4</v>
      </c>
      <c r="D15" s="20" t="s">
        <v>6</v>
      </c>
      <c r="E15" s="81">
        <f>E11*0.302</f>
        <v>37.3574</v>
      </c>
      <c r="F15" s="20">
        <v>1.67</v>
      </c>
      <c r="G15" s="81">
        <f t="shared" si="0"/>
        <v>62.386858</v>
      </c>
    </row>
    <row r="16" spans="1:7" ht="26.25" customHeight="1">
      <c r="A16" s="19">
        <v>9</v>
      </c>
      <c r="B16" s="10" t="s">
        <v>354</v>
      </c>
      <c r="C16" s="19" t="s">
        <v>4</v>
      </c>
      <c r="D16" s="20" t="s">
        <v>22</v>
      </c>
      <c r="E16" s="81">
        <f>384.62+30.39</f>
        <v>415.01</v>
      </c>
      <c r="F16" s="20">
        <v>1</v>
      </c>
      <c r="G16" s="81">
        <f t="shared" si="0"/>
        <v>415.01</v>
      </c>
    </row>
    <row r="17" spans="1:7" ht="22.5" customHeight="1">
      <c r="A17" s="19">
        <v>10</v>
      </c>
      <c r="B17" s="20" t="s">
        <v>262</v>
      </c>
      <c r="C17" s="19" t="s">
        <v>4</v>
      </c>
      <c r="D17" s="23">
        <v>0.4</v>
      </c>
      <c r="E17" s="80">
        <v>0.35</v>
      </c>
      <c r="F17" s="23"/>
      <c r="G17" s="81">
        <f>SUM(G8:G16)*E17</f>
        <v>787.4660416</v>
      </c>
    </row>
    <row r="18" spans="1:7" ht="18.75" customHeight="1">
      <c r="A18" s="19">
        <v>11</v>
      </c>
      <c r="B18" s="20" t="s">
        <v>14</v>
      </c>
      <c r="C18" s="19" t="s">
        <v>4</v>
      </c>
      <c r="D18" s="23">
        <v>0.09</v>
      </c>
      <c r="E18" s="80">
        <v>0.12</v>
      </c>
      <c r="F18" s="23"/>
      <c r="G18" s="81">
        <f>SUM(G8:G17)*E18</f>
        <v>364.484282112</v>
      </c>
    </row>
    <row r="19" spans="1:7" ht="21" customHeight="1">
      <c r="A19" s="19"/>
      <c r="B19" s="24" t="s">
        <v>19</v>
      </c>
      <c r="C19" s="19" t="s">
        <v>4</v>
      </c>
      <c r="D19" s="20"/>
      <c r="E19" s="21"/>
      <c r="F19" s="20"/>
      <c r="G19" s="271">
        <f>SUM(G8:G18)</f>
        <v>3401.8532997120005</v>
      </c>
    </row>
    <row r="20" spans="1:7" ht="15" customHeight="1" hidden="1">
      <c r="A20" s="19"/>
      <c r="B20" s="20" t="s">
        <v>11</v>
      </c>
      <c r="C20" s="19" t="s">
        <v>4</v>
      </c>
      <c r="D20" s="23">
        <v>0.18</v>
      </c>
      <c r="E20" s="23">
        <v>0.18</v>
      </c>
      <c r="F20" s="23"/>
      <c r="G20" s="21">
        <f>G19*0.18</f>
        <v>612.3335939481601</v>
      </c>
    </row>
    <row r="21" spans="1:7" ht="2.25" customHeight="1" hidden="1">
      <c r="A21" s="19"/>
      <c r="B21" s="25" t="s">
        <v>21</v>
      </c>
      <c r="C21" s="19" t="s">
        <v>4</v>
      </c>
      <c r="D21" s="20"/>
      <c r="E21" s="21"/>
      <c r="F21" s="20"/>
      <c r="G21" s="26">
        <f>G19+G20</f>
        <v>4014.1868936601604</v>
      </c>
    </row>
    <row r="22" spans="1:7" ht="2.25" customHeight="1">
      <c r="A22" s="212"/>
      <c r="B22" s="213"/>
      <c r="C22" s="212"/>
      <c r="D22" s="214"/>
      <c r="E22" s="215"/>
      <c r="F22" s="214"/>
      <c r="G22" s="216"/>
    </row>
    <row r="24" spans="2:8" ht="14.25">
      <c r="B24" s="77"/>
      <c r="C24" s="77"/>
      <c r="D24" s="77"/>
      <c r="E24" s="77"/>
      <c r="F24" s="77"/>
      <c r="G24" s="76"/>
      <c r="H24" s="75"/>
    </row>
  </sheetData>
  <sheetProtection/>
  <mergeCells count="4">
    <mergeCell ref="A5:G5"/>
    <mergeCell ref="A4:G4"/>
    <mergeCell ref="A2:G2"/>
    <mergeCell ref="A3:G3"/>
  </mergeCells>
  <printOptions horizontalCentered="1"/>
  <pageMargins left="0.7874015748031497" right="0.7874015748031497" top="0.7480314960629921" bottom="0" header="0.5118110236220472" footer="0.5118110236220472"/>
  <pageSetup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3">
      <selection activeCell="A26" sqref="A26:IV26"/>
    </sheetView>
  </sheetViews>
  <sheetFormatPr defaultColWidth="9.00390625" defaultRowHeight="12.75"/>
  <cols>
    <col min="1" max="1" width="23.125" style="0" customWidth="1"/>
    <col min="2" max="7" width="12.625" style="0" customWidth="1"/>
  </cols>
  <sheetData>
    <row r="2" spans="1:7" ht="22.5" customHeight="1">
      <c r="A2" s="354" t="s">
        <v>61</v>
      </c>
      <c r="B2" s="354"/>
      <c r="C2" s="354"/>
      <c r="D2" s="354"/>
      <c r="E2" s="354"/>
      <c r="F2" s="354"/>
      <c r="G2" s="354"/>
    </row>
    <row r="3" spans="1:7" ht="19.5" customHeight="1">
      <c r="A3" s="353" t="s">
        <v>62</v>
      </c>
      <c r="B3" s="353"/>
      <c r="C3" s="353"/>
      <c r="D3" s="353"/>
      <c r="E3" s="353"/>
      <c r="F3" s="353"/>
      <c r="G3" s="353"/>
    </row>
    <row r="4" spans="1:7" ht="22.5" customHeight="1">
      <c r="A4" s="353" t="s">
        <v>364</v>
      </c>
      <c r="B4" s="353"/>
      <c r="C4" s="353"/>
      <c r="D4" s="353"/>
      <c r="E4" s="353"/>
      <c r="F4" s="353"/>
      <c r="G4" s="353"/>
    </row>
    <row r="5" spans="1:9" ht="15.75">
      <c r="A5" s="2"/>
      <c r="B5" s="2"/>
      <c r="C5" s="2"/>
      <c r="D5" s="2"/>
      <c r="E5" s="2"/>
      <c r="F5" s="2"/>
      <c r="G5" s="2"/>
      <c r="I5" t="s">
        <v>72</v>
      </c>
    </row>
    <row r="6" spans="1:7" ht="15.75">
      <c r="A6" s="2"/>
      <c r="B6" s="2"/>
      <c r="C6" s="2"/>
      <c r="D6" s="2"/>
      <c r="E6" s="2"/>
      <c r="F6" s="2"/>
      <c r="G6" s="2"/>
    </row>
    <row r="8" spans="1:8" ht="41.25" customHeight="1">
      <c r="A8" s="39"/>
      <c r="B8" s="206" t="s">
        <v>27</v>
      </c>
      <c r="C8" s="351" t="s">
        <v>28</v>
      </c>
      <c r="D8" s="352"/>
      <c r="E8" s="35" t="s">
        <v>29</v>
      </c>
      <c r="F8" s="207" t="s">
        <v>31</v>
      </c>
      <c r="G8" s="35" t="s">
        <v>30</v>
      </c>
      <c r="H8" s="30"/>
    </row>
    <row r="9" spans="1:8" ht="13.5" customHeight="1">
      <c r="A9" s="43"/>
      <c r="B9" s="42"/>
      <c r="C9" s="41"/>
      <c r="D9" s="42"/>
      <c r="E9" s="36" t="s">
        <v>380</v>
      </c>
      <c r="F9" s="37"/>
      <c r="G9" s="38" t="s">
        <v>381</v>
      </c>
      <c r="H9" s="30"/>
    </row>
    <row r="10" spans="1:8" ht="15.75" customHeight="1">
      <c r="A10" s="40"/>
      <c r="B10" s="44" t="s">
        <v>4</v>
      </c>
      <c r="C10" s="44" t="s">
        <v>34</v>
      </c>
      <c r="D10" s="44" t="s">
        <v>4</v>
      </c>
      <c r="E10" s="44" t="s">
        <v>4</v>
      </c>
      <c r="F10" s="45" t="s">
        <v>35</v>
      </c>
      <c r="G10" s="44" t="s">
        <v>4</v>
      </c>
      <c r="H10" s="30"/>
    </row>
    <row r="11" spans="1:8" ht="15.75" customHeight="1">
      <c r="A11" s="33">
        <v>1</v>
      </c>
      <c r="B11" s="33">
        <v>2</v>
      </c>
      <c r="C11" s="33">
        <v>3</v>
      </c>
      <c r="D11" s="33">
        <v>4</v>
      </c>
      <c r="E11" s="34">
        <v>5</v>
      </c>
      <c r="F11" s="34">
        <v>6</v>
      </c>
      <c r="G11" s="34">
        <v>7</v>
      </c>
      <c r="H11" s="30"/>
    </row>
    <row r="12" spans="1:8" ht="28.5" customHeight="1">
      <c r="A12" s="203" t="s">
        <v>320</v>
      </c>
      <c r="B12" s="302">
        <f>50000*1.1</f>
        <v>55000.00000000001</v>
      </c>
      <c r="C12" s="264">
        <v>0.3</v>
      </c>
      <c r="D12" s="306">
        <f>B12*C12</f>
        <v>16500</v>
      </c>
      <c r="E12" s="302">
        <f>B12+D12</f>
        <v>71500</v>
      </c>
      <c r="F12" s="211">
        <f>1973/12</f>
        <v>164.41666666666666</v>
      </c>
      <c r="G12" s="211">
        <f>ROUND(E12/F12,1)</f>
        <v>434.9</v>
      </c>
      <c r="H12" s="30"/>
    </row>
    <row r="13" spans="1:8" ht="28.5" customHeight="1">
      <c r="A13" s="203" t="s">
        <v>308</v>
      </c>
      <c r="B13" s="302">
        <f>19300*1.1</f>
        <v>21230</v>
      </c>
      <c r="C13" s="262">
        <v>0.49</v>
      </c>
      <c r="D13" s="306">
        <f>B13*C13</f>
        <v>10402.699999999999</v>
      </c>
      <c r="E13" s="302">
        <f aca="true" t="shared" si="0" ref="E13:E22">B13+D13</f>
        <v>31632.699999999997</v>
      </c>
      <c r="F13" s="211">
        <f aca="true" t="shared" si="1" ref="F13:F22">1973/12</f>
        <v>164.41666666666666</v>
      </c>
      <c r="G13" s="211">
        <f aca="true" t="shared" si="2" ref="G13:G22">ROUND(E13/F13,1)</f>
        <v>192.4</v>
      </c>
      <c r="H13" s="30"/>
    </row>
    <row r="14" spans="1:8" ht="28.5" customHeight="1">
      <c r="A14" s="204" t="s">
        <v>369</v>
      </c>
      <c r="B14" s="302">
        <f>36674*1.1</f>
        <v>40341.4</v>
      </c>
      <c r="C14" s="262">
        <v>0.49</v>
      </c>
      <c r="D14" s="306">
        <f aca="true" t="shared" si="3" ref="D14:D22">B14*C14</f>
        <v>19767.286</v>
      </c>
      <c r="E14" s="302">
        <f t="shared" si="0"/>
        <v>60108.686</v>
      </c>
      <c r="F14" s="211">
        <f t="shared" si="1"/>
        <v>164.41666666666666</v>
      </c>
      <c r="G14" s="211">
        <f t="shared" si="2"/>
        <v>365.6</v>
      </c>
      <c r="H14" s="30"/>
    </row>
    <row r="15" spans="1:8" ht="28.5" customHeight="1">
      <c r="A15" s="10" t="s">
        <v>370</v>
      </c>
      <c r="B15" s="302">
        <f>11713*1.1</f>
        <v>12884.300000000001</v>
      </c>
      <c r="C15" s="262">
        <v>0.49</v>
      </c>
      <c r="D15" s="306">
        <f>B15*C15</f>
        <v>6313.307000000001</v>
      </c>
      <c r="E15" s="302">
        <f t="shared" si="0"/>
        <v>19197.607000000004</v>
      </c>
      <c r="F15" s="211">
        <f t="shared" si="1"/>
        <v>164.41666666666666</v>
      </c>
      <c r="G15" s="211">
        <f>ROUND(E15/F15,1)</f>
        <v>116.8</v>
      </c>
      <c r="H15" s="30"/>
    </row>
    <row r="16" spans="1:8" ht="28.5" customHeight="1">
      <c r="A16" s="204" t="s">
        <v>309</v>
      </c>
      <c r="B16" s="302">
        <f>15004*1.1</f>
        <v>16504.4</v>
      </c>
      <c r="C16" s="262">
        <v>0.49</v>
      </c>
      <c r="D16" s="306">
        <f>B16*C16</f>
        <v>8087.156000000001</v>
      </c>
      <c r="E16" s="302">
        <f t="shared" si="0"/>
        <v>24591.556000000004</v>
      </c>
      <c r="F16" s="211">
        <f t="shared" si="1"/>
        <v>164.41666666666666</v>
      </c>
      <c r="G16" s="211">
        <f>ROUND(E16/F16,1)</f>
        <v>149.6</v>
      </c>
      <c r="H16" s="30"/>
    </row>
    <row r="17" spans="1:8" ht="28.5" customHeight="1">
      <c r="A17" s="204" t="s">
        <v>368</v>
      </c>
      <c r="B17" s="302">
        <f>14823*1.1</f>
        <v>16305.300000000001</v>
      </c>
      <c r="C17" s="262">
        <v>0.49</v>
      </c>
      <c r="D17" s="306">
        <f>B17*C17</f>
        <v>7989.597000000001</v>
      </c>
      <c r="E17" s="302">
        <f t="shared" si="0"/>
        <v>24294.897</v>
      </c>
      <c r="F17" s="211">
        <f t="shared" si="1"/>
        <v>164.41666666666666</v>
      </c>
      <c r="G17" s="211">
        <f>ROUND(E17/F17,1)</f>
        <v>147.8</v>
      </c>
      <c r="H17" s="30"/>
    </row>
    <row r="18" spans="1:9" ht="28.5" customHeight="1">
      <c r="A18" s="205" t="s">
        <v>64</v>
      </c>
      <c r="B18" s="303">
        <f>11713*1.1</f>
        <v>12884.300000000001</v>
      </c>
      <c r="C18" s="262">
        <v>0.49</v>
      </c>
      <c r="D18" s="304">
        <f t="shared" si="3"/>
        <v>6313.307000000001</v>
      </c>
      <c r="E18" s="302">
        <f t="shared" si="0"/>
        <v>19197.607000000004</v>
      </c>
      <c r="F18" s="211">
        <f t="shared" si="1"/>
        <v>164.41666666666666</v>
      </c>
      <c r="G18" s="211">
        <f t="shared" si="2"/>
        <v>116.8</v>
      </c>
      <c r="I18" t="s">
        <v>71</v>
      </c>
    </row>
    <row r="19" spans="1:7" ht="28.5" customHeight="1">
      <c r="A19" s="205" t="s">
        <v>65</v>
      </c>
      <c r="B19" s="304">
        <f>28435*1.1</f>
        <v>31278.500000000004</v>
      </c>
      <c r="C19" s="262">
        <v>0.49</v>
      </c>
      <c r="D19" s="304">
        <f t="shared" si="3"/>
        <v>15326.465000000002</v>
      </c>
      <c r="E19" s="302">
        <f t="shared" si="0"/>
        <v>46604.965000000004</v>
      </c>
      <c r="F19" s="211">
        <f t="shared" si="1"/>
        <v>164.41666666666666</v>
      </c>
      <c r="G19" s="211">
        <f t="shared" si="2"/>
        <v>283.5</v>
      </c>
    </row>
    <row r="20" spans="1:7" ht="28.5" customHeight="1">
      <c r="A20" s="205" t="s">
        <v>32</v>
      </c>
      <c r="B20" s="304">
        <f>11605*1.1</f>
        <v>12765.500000000002</v>
      </c>
      <c r="C20" s="263">
        <v>0.593</v>
      </c>
      <c r="D20" s="304">
        <f t="shared" si="3"/>
        <v>7569.941500000001</v>
      </c>
      <c r="E20" s="302">
        <f t="shared" si="0"/>
        <v>20335.4415</v>
      </c>
      <c r="F20" s="211">
        <f t="shared" si="1"/>
        <v>164.41666666666666</v>
      </c>
      <c r="G20" s="211">
        <f t="shared" si="2"/>
        <v>123.7</v>
      </c>
    </row>
    <row r="21" spans="1:7" ht="28.5" customHeight="1">
      <c r="A21" s="205" t="s">
        <v>33</v>
      </c>
      <c r="B21" s="304">
        <f>(11605+2321)*1.1</f>
        <v>15318.6</v>
      </c>
      <c r="C21" s="263">
        <v>0.407</v>
      </c>
      <c r="D21" s="304">
        <f t="shared" si="3"/>
        <v>6234.6702</v>
      </c>
      <c r="E21" s="302">
        <f t="shared" si="0"/>
        <v>21553.2702</v>
      </c>
      <c r="F21" s="211">
        <f t="shared" si="1"/>
        <v>164.41666666666666</v>
      </c>
      <c r="G21" s="211">
        <f t="shared" si="2"/>
        <v>131.1</v>
      </c>
    </row>
    <row r="22" spans="1:7" ht="28.5" customHeight="1">
      <c r="A22" s="205" t="s">
        <v>375</v>
      </c>
      <c r="B22" s="305">
        <f>18792*1.1</f>
        <v>20671.2</v>
      </c>
      <c r="C22" s="262">
        <v>0.49</v>
      </c>
      <c r="D22" s="305">
        <f t="shared" si="3"/>
        <v>10128.888</v>
      </c>
      <c r="E22" s="302">
        <f t="shared" si="0"/>
        <v>30800.088000000003</v>
      </c>
      <c r="F22" s="211">
        <f t="shared" si="1"/>
        <v>164.41666666666666</v>
      </c>
      <c r="G22" s="211">
        <f t="shared" si="2"/>
        <v>187.3</v>
      </c>
    </row>
    <row r="23" ht="16.5" customHeight="1">
      <c r="E23" s="307"/>
    </row>
  </sheetData>
  <sheetProtection/>
  <mergeCells count="4">
    <mergeCell ref="C8:D8"/>
    <mergeCell ref="A3:G3"/>
    <mergeCell ref="A4:G4"/>
    <mergeCell ref="A2:G2"/>
  </mergeCells>
  <printOptions horizontalCentered="1"/>
  <pageMargins left="0.7874015748031497" right="0.7874015748031497" top="0.7874015748031497" bottom="0.3937007874015748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22">
      <selection activeCell="C4" sqref="C4:C5"/>
    </sheetView>
  </sheetViews>
  <sheetFormatPr defaultColWidth="9.00390625" defaultRowHeight="12.75"/>
  <cols>
    <col min="1" max="1" width="7.625" style="0" customWidth="1"/>
    <col min="2" max="2" width="54.25390625" style="0" customWidth="1"/>
    <col min="3" max="3" width="18.25390625" style="0" customWidth="1"/>
  </cols>
  <sheetData>
    <row r="1" spans="1:3" ht="47.25" customHeight="1">
      <c r="A1" s="355" t="s">
        <v>389</v>
      </c>
      <c r="B1" s="355"/>
      <c r="C1" s="355"/>
    </row>
    <row r="2" spans="1:2" ht="15">
      <c r="A2" s="355"/>
      <c r="B2" s="356"/>
    </row>
    <row r="3" spans="1:3" ht="15">
      <c r="A3" s="170"/>
      <c r="B3" s="171"/>
      <c r="C3" s="199" t="s">
        <v>306</v>
      </c>
    </row>
    <row r="4" spans="1:3" ht="12.75" customHeight="1">
      <c r="A4" s="358" t="s">
        <v>200</v>
      </c>
      <c r="B4" s="358" t="s">
        <v>201</v>
      </c>
      <c r="C4" s="360" t="s">
        <v>360</v>
      </c>
    </row>
    <row r="5" spans="1:4" ht="123" customHeight="1">
      <c r="A5" s="359"/>
      <c r="B5" s="346"/>
      <c r="C5" s="361"/>
      <c r="D5" s="198"/>
    </row>
    <row r="6" spans="1:3" ht="14.25">
      <c r="A6" s="173">
        <v>1</v>
      </c>
      <c r="B6" s="173">
        <v>2</v>
      </c>
      <c r="C6" s="173">
        <v>6</v>
      </c>
    </row>
    <row r="7" spans="1:3" ht="29.25" customHeight="1">
      <c r="A7" s="173" t="s">
        <v>202</v>
      </c>
      <c r="B7" s="174" t="s">
        <v>203</v>
      </c>
      <c r="C7" s="284">
        <f>C8+C9+C10+C11+C12+C21</f>
        <v>1201.62</v>
      </c>
    </row>
    <row r="8" spans="1:3" ht="21.75" customHeight="1">
      <c r="A8" s="173" t="s">
        <v>185</v>
      </c>
      <c r="B8" s="175" t="s">
        <v>204</v>
      </c>
      <c r="C8" s="285">
        <v>217.69</v>
      </c>
    </row>
    <row r="9" spans="1:3" ht="18.75" customHeight="1">
      <c r="A9" s="173" t="s">
        <v>205</v>
      </c>
      <c r="B9" s="175" t="s">
        <v>206</v>
      </c>
      <c r="C9" s="285">
        <v>0</v>
      </c>
    </row>
    <row r="10" spans="1:3" ht="18" customHeight="1">
      <c r="A10" s="173" t="s">
        <v>207</v>
      </c>
      <c r="B10" s="175" t="s">
        <v>208</v>
      </c>
      <c r="C10" s="285">
        <v>443.19</v>
      </c>
    </row>
    <row r="11" spans="1:3" ht="20.25" customHeight="1">
      <c r="A11" s="173" t="s">
        <v>209</v>
      </c>
      <c r="B11" s="175" t="s">
        <v>210</v>
      </c>
      <c r="C11" s="285">
        <v>133.84</v>
      </c>
    </row>
    <row r="12" spans="1:3" ht="18.75" customHeight="1">
      <c r="A12" s="173" t="s">
        <v>211</v>
      </c>
      <c r="B12" s="175" t="s">
        <v>212</v>
      </c>
      <c r="C12" s="285">
        <v>278.15</v>
      </c>
    </row>
    <row r="13" spans="1:3" ht="17.25" customHeight="1">
      <c r="A13" s="173" t="s">
        <v>213</v>
      </c>
      <c r="B13" s="174" t="s">
        <v>214</v>
      </c>
      <c r="C13" s="285">
        <v>0</v>
      </c>
    </row>
    <row r="14" spans="1:3" ht="30.75" customHeight="1">
      <c r="A14" s="173" t="s">
        <v>215</v>
      </c>
      <c r="B14" s="174" t="s">
        <v>216</v>
      </c>
      <c r="C14" s="285">
        <v>0</v>
      </c>
    </row>
    <row r="15" spans="1:3" ht="33.75" customHeight="1">
      <c r="A15" s="173" t="s">
        <v>217</v>
      </c>
      <c r="B15" s="174" t="s">
        <v>218</v>
      </c>
      <c r="C15" s="285">
        <v>278.15</v>
      </c>
    </row>
    <row r="16" spans="1:3" ht="20.25" customHeight="1">
      <c r="A16" s="173" t="s">
        <v>219</v>
      </c>
      <c r="B16" s="175" t="s">
        <v>220</v>
      </c>
      <c r="C16" s="285">
        <v>0</v>
      </c>
    </row>
    <row r="17" spans="1:3" ht="18" customHeight="1">
      <c r="A17" s="173" t="s">
        <v>221</v>
      </c>
      <c r="B17" s="174" t="s">
        <v>222</v>
      </c>
      <c r="C17" s="285">
        <v>0</v>
      </c>
    </row>
    <row r="18" spans="1:3" ht="28.5" customHeight="1">
      <c r="A18" s="173" t="s">
        <v>223</v>
      </c>
      <c r="B18" s="174" t="s">
        <v>224</v>
      </c>
      <c r="C18" s="285">
        <v>0</v>
      </c>
    </row>
    <row r="19" spans="1:3" ht="24" customHeight="1">
      <c r="A19" s="173" t="s">
        <v>225</v>
      </c>
      <c r="B19" s="175" t="s">
        <v>226</v>
      </c>
      <c r="C19" s="285">
        <v>10.55</v>
      </c>
    </row>
    <row r="20" spans="1:3" ht="32.25" customHeight="1">
      <c r="A20" s="173" t="s">
        <v>227</v>
      </c>
      <c r="B20" s="174" t="s">
        <v>228</v>
      </c>
      <c r="C20" s="285">
        <v>267.6</v>
      </c>
    </row>
    <row r="21" spans="1:3" ht="24" customHeight="1">
      <c r="A21" s="173" t="s">
        <v>229</v>
      </c>
      <c r="B21" s="175" t="s">
        <v>230</v>
      </c>
      <c r="C21" s="285">
        <v>128.75</v>
      </c>
    </row>
    <row r="22" spans="1:3" ht="21.75" customHeight="1">
      <c r="A22" s="173" t="s">
        <v>231</v>
      </c>
      <c r="B22" s="174" t="s">
        <v>232</v>
      </c>
      <c r="C22" s="285">
        <v>0</v>
      </c>
    </row>
    <row r="23" spans="1:3" ht="18.75" customHeight="1">
      <c r="A23" s="173" t="s">
        <v>233</v>
      </c>
      <c r="B23" s="175" t="s">
        <v>234</v>
      </c>
      <c r="C23" s="285">
        <v>0</v>
      </c>
    </row>
    <row r="24" spans="1:3" ht="18.75" customHeight="1">
      <c r="A24" s="173" t="s">
        <v>235</v>
      </c>
      <c r="B24" s="175" t="s">
        <v>236</v>
      </c>
      <c r="C24" s="285">
        <v>0</v>
      </c>
    </row>
    <row r="25" spans="1:3" ht="33.75" customHeight="1">
      <c r="A25" s="173" t="s">
        <v>237</v>
      </c>
      <c r="B25" s="174" t="s">
        <v>238</v>
      </c>
      <c r="C25" s="285">
        <v>128.75</v>
      </c>
    </row>
    <row r="26" spans="1:3" ht="16.5" customHeight="1">
      <c r="A26" s="173" t="s">
        <v>239</v>
      </c>
      <c r="B26" s="175" t="s">
        <v>240</v>
      </c>
      <c r="C26" s="285"/>
    </row>
    <row r="27" spans="1:3" ht="42.75" customHeight="1">
      <c r="A27" s="173" t="s">
        <v>241</v>
      </c>
      <c r="B27" s="174" t="s">
        <v>355</v>
      </c>
      <c r="C27" s="326">
        <v>2158.17</v>
      </c>
    </row>
    <row r="28" spans="1:3" ht="18" customHeight="1">
      <c r="A28" s="173" t="s">
        <v>242</v>
      </c>
      <c r="B28" s="175" t="s">
        <v>243</v>
      </c>
      <c r="C28" s="326">
        <v>198.21</v>
      </c>
    </row>
    <row r="29" spans="1:3" ht="32.25" customHeight="1">
      <c r="A29" s="173" t="s">
        <v>244</v>
      </c>
      <c r="B29" s="226" t="s">
        <v>245</v>
      </c>
      <c r="C29" s="300">
        <f>C7+C27+C28</f>
        <v>3558</v>
      </c>
    </row>
    <row r="30" spans="1:2" ht="14.25">
      <c r="A30" s="169"/>
      <c r="B30" s="76"/>
    </row>
    <row r="31" spans="1:2" ht="14.25">
      <c r="A31" s="169"/>
      <c r="B31" s="76"/>
    </row>
    <row r="32" spans="1:2" ht="14.25">
      <c r="A32" s="169"/>
      <c r="B32" s="76"/>
    </row>
    <row r="33" spans="1:2" ht="14.25">
      <c r="A33" s="357"/>
      <c r="B33" s="357"/>
    </row>
    <row r="34" spans="1:2" ht="14.25">
      <c r="A34" s="169"/>
      <c r="B34" s="76"/>
    </row>
    <row r="35" ht="12.75">
      <c r="A35" s="6"/>
    </row>
    <row r="36" ht="12.75">
      <c r="A36" s="6"/>
    </row>
  </sheetData>
  <sheetProtection/>
  <mergeCells count="6">
    <mergeCell ref="A1:C1"/>
    <mergeCell ref="A2:B2"/>
    <mergeCell ref="A33:B33"/>
    <mergeCell ref="A4:A5"/>
    <mergeCell ref="C4:C5"/>
    <mergeCell ref="B4:B5"/>
  </mergeCells>
  <printOptions/>
  <pageMargins left="0.7086614173228347" right="0.11811023622047245" top="0.7480314960629921" bottom="0.7480314960629921" header="0.31496062992125984" footer="0.31496062992125984"/>
  <pageSetup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9">
      <selection activeCell="C14" sqref="C14"/>
    </sheetView>
  </sheetViews>
  <sheetFormatPr defaultColWidth="9.00390625" defaultRowHeight="12.75"/>
  <cols>
    <col min="1" max="1" width="7.375" style="0" customWidth="1"/>
    <col min="2" max="2" width="52.125" style="0" customWidth="1"/>
    <col min="3" max="3" width="28.875" style="0" customWidth="1"/>
  </cols>
  <sheetData>
    <row r="1" spans="1:3" ht="36" customHeight="1">
      <c r="A1" s="362" t="s">
        <v>365</v>
      </c>
      <c r="B1" s="363"/>
      <c r="C1" s="363"/>
    </row>
    <row r="2" spans="1:3" ht="12.75">
      <c r="A2" s="362"/>
      <c r="B2" s="363"/>
      <c r="C2" s="363"/>
    </row>
    <row r="3" spans="1:3" ht="12.75">
      <c r="A3" s="362"/>
      <c r="B3" s="363"/>
      <c r="C3" s="363"/>
    </row>
    <row r="4" spans="1:3" ht="12.75">
      <c r="A4" s="6"/>
      <c r="C4" s="176" t="s">
        <v>305</v>
      </c>
    </row>
    <row r="5" spans="1:3" ht="12.75" customHeight="1">
      <c r="A5" s="364" t="s">
        <v>10</v>
      </c>
      <c r="B5" s="364" t="s">
        <v>201</v>
      </c>
      <c r="C5" s="367" t="s">
        <v>388</v>
      </c>
    </row>
    <row r="6" spans="1:3" ht="63" customHeight="1">
      <c r="A6" s="365"/>
      <c r="B6" s="365"/>
      <c r="C6" s="368"/>
    </row>
    <row r="7" spans="1:3" ht="12.75">
      <c r="A7" s="8">
        <v>1</v>
      </c>
      <c r="B7" s="8">
        <v>2</v>
      </c>
      <c r="C7" s="8">
        <v>4</v>
      </c>
    </row>
    <row r="8" spans="1:3" ht="31.5" customHeight="1">
      <c r="A8" s="8"/>
      <c r="B8" s="10" t="s">
        <v>303</v>
      </c>
      <c r="C8" s="187">
        <f>C9+C10+C11+C12+C13+C22</f>
        <v>471.59000000000003</v>
      </c>
    </row>
    <row r="9" spans="1:3" ht="13.5" customHeight="1">
      <c r="A9" s="183" t="s">
        <v>256</v>
      </c>
      <c r="B9" s="9" t="s">
        <v>204</v>
      </c>
      <c r="C9" s="184">
        <v>85.435</v>
      </c>
    </row>
    <row r="10" spans="1:3" ht="15" customHeight="1">
      <c r="A10" s="183" t="s">
        <v>257</v>
      </c>
      <c r="B10" s="9" t="s">
        <v>298</v>
      </c>
      <c r="C10" s="184">
        <v>0</v>
      </c>
    </row>
    <row r="11" spans="1:3" ht="15" customHeight="1">
      <c r="A11" s="183" t="s">
        <v>259</v>
      </c>
      <c r="B11" s="9" t="s">
        <v>258</v>
      </c>
      <c r="C11" s="184">
        <v>173.935</v>
      </c>
    </row>
    <row r="12" spans="1:3" ht="14.25" customHeight="1">
      <c r="A12" s="8" t="s">
        <v>209</v>
      </c>
      <c r="B12" s="9" t="s">
        <v>260</v>
      </c>
      <c r="C12" s="184">
        <v>52.525</v>
      </c>
    </row>
    <row r="13" spans="1:3" ht="15" customHeight="1">
      <c r="A13" s="8" t="s">
        <v>211</v>
      </c>
      <c r="B13" s="9" t="s">
        <v>300</v>
      </c>
      <c r="C13" s="184">
        <v>109.165</v>
      </c>
    </row>
    <row r="14" spans="1:3" ht="18" customHeight="1">
      <c r="A14" s="183" t="s">
        <v>213</v>
      </c>
      <c r="B14" s="9" t="s">
        <v>214</v>
      </c>
      <c r="C14" s="184">
        <v>0</v>
      </c>
    </row>
    <row r="15" spans="1:3" ht="19.5" customHeight="1">
      <c r="A15" s="173" t="s">
        <v>215</v>
      </c>
      <c r="B15" s="174" t="s">
        <v>299</v>
      </c>
      <c r="C15" s="184">
        <v>0</v>
      </c>
    </row>
    <row r="16" spans="1:3" ht="28.5">
      <c r="A16" s="173" t="s">
        <v>217</v>
      </c>
      <c r="B16" s="174" t="s">
        <v>218</v>
      </c>
      <c r="C16" s="184">
        <v>109.17</v>
      </c>
    </row>
    <row r="17" spans="1:3" ht="17.25" customHeight="1">
      <c r="A17" s="173" t="s">
        <v>219</v>
      </c>
      <c r="B17" s="175" t="s">
        <v>220</v>
      </c>
      <c r="C17" s="184">
        <v>0</v>
      </c>
    </row>
    <row r="18" spans="1:3" ht="17.25" customHeight="1">
      <c r="A18" s="173" t="s">
        <v>221</v>
      </c>
      <c r="B18" s="175" t="s">
        <v>222</v>
      </c>
      <c r="C18" s="184">
        <v>0</v>
      </c>
    </row>
    <row r="19" spans="1:3" ht="30" customHeight="1">
      <c r="A19" s="173" t="s">
        <v>223</v>
      </c>
      <c r="B19" s="174" t="s">
        <v>224</v>
      </c>
      <c r="C19" s="184">
        <v>0</v>
      </c>
    </row>
    <row r="20" spans="1:3" ht="16.5" customHeight="1">
      <c r="A20" s="173" t="s">
        <v>225</v>
      </c>
      <c r="B20" s="175" t="s">
        <v>226</v>
      </c>
      <c r="C20" s="184">
        <v>4.14</v>
      </c>
    </row>
    <row r="21" spans="1:3" ht="27.75" customHeight="1">
      <c r="A21" s="173" t="s">
        <v>227</v>
      </c>
      <c r="B21" s="174" t="s">
        <v>228</v>
      </c>
      <c r="C21" s="184">
        <v>105.02</v>
      </c>
    </row>
    <row r="22" spans="1:3" ht="16.5" customHeight="1">
      <c r="A22" s="173" t="s">
        <v>229</v>
      </c>
      <c r="B22" s="175" t="s">
        <v>230</v>
      </c>
      <c r="C22" s="184">
        <v>50.53</v>
      </c>
    </row>
    <row r="23" spans="1:3" ht="16.5" customHeight="1">
      <c r="A23" s="173" t="s">
        <v>231</v>
      </c>
      <c r="B23" s="174" t="s">
        <v>232</v>
      </c>
      <c r="C23" s="184">
        <v>0</v>
      </c>
    </row>
    <row r="24" spans="1:3" ht="17.25" customHeight="1">
      <c r="A24" s="173" t="s">
        <v>233</v>
      </c>
      <c r="B24" s="175" t="s">
        <v>234</v>
      </c>
      <c r="C24" s="184">
        <v>0</v>
      </c>
    </row>
    <row r="25" spans="1:3" ht="16.5" customHeight="1">
      <c r="A25" s="173" t="s">
        <v>235</v>
      </c>
      <c r="B25" s="175" t="s">
        <v>236</v>
      </c>
      <c r="C25" s="184">
        <v>0</v>
      </c>
    </row>
    <row r="26" spans="1:3" ht="14.25">
      <c r="A26" s="173" t="s">
        <v>237</v>
      </c>
      <c r="B26" s="174" t="s">
        <v>301</v>
      </c>
      <c r="C26" s="184">
        <v>50.53</v>
      </c>
    </row>
    <row r="27" spans="1:3" ht="14.25">
      <c r="A27" s="173" t="s">
        <v>302</v>
      </c>
      <c r="B27" s="175" t="s">
        <v>240</v>
      </c>
      <c r="C27" s="184">
        <v>0</v>
      </c>
    </row>
    <row r="28" spans="1:3" ht="71.25">
      <c r="A28" s="173" t="s">
        <v>241</v>
      </c>
      <c r="B28" s="174" t="s">
        <v>304</v>
      </c>
      <c r="C28" s="184">
        <v>0</v>
      </c>
    </row>
    <row r="29" spans="1:3" ht="14.25">
      <c r="A29" s="173" t="s">
        <v>242</v>
      </c>
      <c r="B29" s="175" t="s">
        <v>243</v>
      </c>
      <c r="C29" s="142">
        <v>0</v>
      </c>
    </row>
    <row r="30" spans="1:3" ht="15">
      <c r="A30" s="172" t="s">
        <v>244</v>
      </c>
      <c r="B30" s="191" t="s">
        <v>245</v>
      </c>
      <c r="C30" s="187">
        <f>C8+C28+C29</f>
        <v>471.59000000000003</v>
      </c>
    </row>
    <row r="31" ht="12.75">
      <c r="A31" s="197"/>
    </row>
    <row r="32" ht="12.75">
      <c r="A32" s="197"/>
    </row>
    <row r="33" spans="1:3" ht="12.75">
      <c r="A33" s="366"/>
      <c r="B33" s="366"/>
      <c r="C33" s="366"/>
    </row>
    <row r="34" ht="12.75">
      <c r="A34" s="197"/>
    </row>
  </sheetData>
  <sheetProtection/>
  <mergeCells count="6">
    <mergeCell ref="A2:C3"/>
    <mergeCell ref="A5:A6"/>
    <mergeCell ref="B5:B6"/>
    <mergeCell ref="A33:C33"/>
    <mergeCell ref="C5:C6"/>
    <mergeCell ref="A1:C1"/>
  </mergeCells>
  <printOptions/>
  <pageMargins left="0.7086614173228347" right="0.7086614173228347" top="0.7480314960629921" bottom="0.7480314960629921" header="0.31496062992125984" footer="0.31496062992125984"/>
  <pageSetup fitToHeight="2" fitToWidth="1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96">
      <selection activeCell="E119" sqref="E119"/>
    </sheetView>
  </sheetViews>
  <sheetFormatPr defaultColWidth="9.00390625" defaultRowHeight="12.75"/>
  <cols>
    <col min="1" max="1" width="6.75390625" style="0" customWidth="1"/>
    <col min="2" max="2" width="45.75390625" style="0" customWidth="1"/>
    <col min="3" max="3" width="16.25390625" style="0" customWidth="1"/>
    <col min="4" max="4" width="15.875" style="0" customWidth="1"/>
    <col min="5" max="5" width="17.875" style="0" customWidth="1"/>
  </cols>
  <sheetData>
    <row r="1" spans="1:5" ht="33" customHeight="1">
      <c r="A1" s="362" t="s">
        <v>366</v>
      </c>
      <c r="B1" s="363"/>
      <c r="C1" s="363"/>
      <c r="D1" s="363"/>
      <c r="E1" s="363"/>
    </row>
    <row r="2" spans="1:5" ht="12.75">
      <c r="A2" s="362" t="s">
        <v>246</v>
      </c>
      <c r="B2" s="363"/>
      <c r="C2" s="363"/>
      <c r="D2" s="363"/>
      <c r="E2" s="363"/>
    </row>
    <row r="3" spans="1:5" ht="12.75">
      <c r="A3" s="362"/>
      <c r="B3" s="363"/>
      <c r="C3" s="363"/>
      <c r="D3" s="363"/>
      <c r="E3" s="363"/>
    </row>
    <row r="4" spans="1:5" ht="12.75">
      <c r="A4" s="6"/>
      <c r="E4" s="176" t="s">
        <v>247</v>
      </c>
    </row>
    <row r="5" spans="1:5" ht="63.75">
      <c r="A5" s="177" t="s">
        <v>248</v>
      </c>
      <c r="B5" s="177" t="s">
        <v>249</v>
      </c>
      <c r="C5" s="178" t="s">
        <v>250</v>
      </c>
      <c r="D5" s="178" t="s">
        <v>251</v>
      </c>
      <c r="E5" s="178" t="s">
        <v>252</v>
      </c>
    </row>
    <row r="6" spans="1:5" ht="13.5" thickBot="1">
      <c r="A6" s="58">
        <v>1</v>
      </c>
      <c r="B6" s="58">
        <v>2</v>
      </c>
      <c r="C6" s="58">
        <v>3</v>
      </c>
      <c r="D6" s="58">
        <v>4</v>
      </c>
      <c r="E6" s="58">
        <v>5</v>
      </c>
    </row>
    <row r="7" spans="1:5" ht="45.75" customHeight="1" thickBot="1">
      <c r="A7" s="179" t="s">
        <v>253</v>
      </c>
      <c r="B7" s="180" t="s">
        <v>254</v>
      </c>
      <c r="C7" s="286">
        <f>C8+C22+C28+C29+C14+C15</f>
        <v>98091.441818496</v>
      </c>
      <c r="D7" s="286">
        <f>'табл 5-6'!E11</f>
        <v>128</v>
      </c>
      <c r="E7" s="286">
        <f>E8+E22+E28+E29+E14+E15</f>
        <v>766.339389207</v>
      </c>
    </row>
    <row r="8" spans="1:5" ht="27.75" customHeight="1">
      <c r="A8" s="181" t="s">
        <v>202</v>
      </c>
      <c r="B8" s="182" t="s">
        <v>255</v>
      </c>
      <c r="C8" s="287">
        <f>C9+C10+C11+C12+C13</f>
        <v>27214.826397696</v>
      </c>
      <c r="D8" s="287">
        <f>D7</f>
        <v>128</v>
      </c>
      <c r="E8" s="287">
        <f>C8/D8</f>
        <v>212.615831232</v>
      </c>
    </row>
    <row r="9" spans="1:5" ht="12.75">
      <c r="A9" s="183" t="s">
        <v>256</v>
      </c>
      <c r="B9" s="9" t="s">
        <v>204</v>
      </c>
      <c r="C9" s="261">
        <f>'выдача техусл'!G16*'табл 5-6'!D11</f>
        <v>3320.08</v>
      </c>
      <c r="D9" s="261"/>
      <c r="E9" s="261"/>
    </row>
    <row r="10" spans="1:5" ht="12.75">
      <c r="A10" s="183" t="s">
        <v>257</v>
      </c>
      <c r="B10" s="9" t="s">
        <v>258</v>
      </c>
      <c r="C10" s="261">
        <f>('выдача техусл'!G9+'выдача техусл'!G10+'выдача техусл'!G11+'выдача техусл'!G8)*'табл 5-6'!D11</f>
        <v>11274.304</v>
      </c>
      <c r="D10" s="261"/>
      <c r="E10" s="261"/>
    </row>
    <row r="11" spans="1:5" ht="12.75">
      <c r="A11" s="183" t="s">
        <v>259</v>
      </c>
      <c r="B11" s="9" t="s">
        <v>260</v>
      </c>
      <c r="C11" s="261">
        <f>('выдача техусл'!G13+'выдача техусл'!G14+'выдача техусл'!G15+'выдача техусл'!G12)*'табл 5-6'!D11</f>
        <v>3404.8398079999997</v>
      </c>
      <c r="D11" s="261"/>
      <c r="E11" s="261"/>
    </row>
    <row r="12" spans="1:5" ht="12.75">
      <c r="A12" s="183" t="s">
        <v>261</v>
      </c>
      <c r="B12" s="9" t="s">
        <v>262</v>
      </c>
      <c r="C12" s="261">
        <f>'выдача техусл'!G17*'табл 5-6'!D11</f>
        <v>6299.7283328</v>
      </c>
      <c r="D12" s="288"/>
      <c r="E12" s="288"/>
    </row>
    <row r="13" spans="1:5" ht="12.75">
      <c r="A13" s="183" t="s">
        <v>263</v>
      </c>
      <c r="B13" s="9" t="s">
        <v>264</v>
      </c>
      <c r="C13" s="261">
        <f>'выдача техусл'!G18*'табл 5-6'!D11</f>
        <v>2915.874256896</v>
      </c>
      <c r="D13" s="288"/>
      <c r="E13" s="288"/>
    </row>
    <row r="14" spans="1:5" ht="30" customHeight="1" hidden="1">
      <c r="A14" s="185" t="s">
        <v>241</v>
      </c>
      <c r="B14" s="186" t="s">
        <v>265</v>
      </c>
      <c r="C14" s="284">
        <v>0</v>
      </c>
      <c r="D14" s="284">
        <v>200</v>
      </c>
      <c r="E14" s="284">
        <f>C14/D14</f>
        <v>0</v>
      </c>
    </row>
    <row r="15" spans="1:5" ht="12.75" hidden="1">
      <c r="A15" s="188" t="s">
        <v>242</v>
      </c>
      <c r="B15" s="369" t="s">
        <v>266</v>
      </c>
      <c r="C15" s="371">
        <f>C16+C18+C19+C20+C21</f>
        <v>0</v>
      </c>
      <c r="D15" s="371">
        <v>200</v>
      </c>
      <c r="E15" s="371">
        <f>C15/D15</f>
        <v>0</v>
      </c>
    </row>
    <row r="16" spans="1:5" ht="12.75" hidden="1">
      <c r="A16" s="190"/>
      <c r="B16" s="370"/>
      <c r="C16" s="372"/>
      <c r="D16" s="372"/>
      <c r="E16" s="373"/>
    </row>
    <row r="17" spans="1:5" ht="12.75" hidden="1">
      <c r="A17" s="183" t="s">
        <v>267</v>
      </c>
      <c r="B17" s="9" t="s">
        <v>268</v>
      </c>
      <c r="C17" s="290"/>
      <c r="D17" s="290"/>
      <c r="E17" s="290"/>
    </row>
    <row r="18" spans="1:5" ht="12.75" hidden="1">
      <c r="A18" s="183" t="s">
        <v>269</v>
      </c>
      <c r="B18" s="9" t="s">
        <v>270</v>
      </c>
      <c r="C18" s="288">
        <v>0</v>
      </c>
      <c r="D18" s="288"/>
      <c r="E18" s="288"/>
    </row>
    <row r="19" spans="1:5" ht="12.75" hidden="1">
      <c r="A19" s="183" t="s">
        <v>271</v>
      </c>
      <c r="B19" s="9" t="s">
        <v>272</v>
      </c>
      <c r="C19" s="288">
        <v>0</v>
      </c>
      <c r="D19" s="288"/>
      <c r="E19" s="288"/>
    </row>
    <row r="20" spans="1:5" ht="51" hidden="1">
      <c r="A20" s="183" t="s">
        <v>273</v>
      </c>
      <c r="B20" s="10" t="s">
        <v>274</v>
      </c>
      <c r="C20" s="288">
        <v>0</v>
      </c>
      <c r="D20" s="288"/>
      <c r="E20" s="288"/>
    </row>
    <row r="21" spans="1:5" ht="25.5" hidden="1">
      <c r="A21" s="183" t="s">
        <v>275</v>
      </c>
      <c r="B21" s="10" t="s">
        <v>276</v>
      </c>
      <c r="C21" s="288">
        <v>0</v>
      </c>
      <c r="D21" s="288"/>
      <c r="E21" s="288"/>
    </row>
    <row r="22" spans="1:5" ht="25.5">
      <c r="A22" s="185" t="s">
        <v>241</v>
      </c>
      <c r="B22" s="191" t="s">
        <v>277</v>
      </c>
      <c r="C22" s="284">
        <f>C23+C24+C25+C26+C27</f>
        <v>27562.280659199998</v>
      </c>
      <c r="D22" s="287">
        <f>D7</f>
        <v>128</v>
      </c>
      <c r="E22" s="284">
        <f>C22/D22</f>
        <v>215.33031764999998</v>
      </c>
    </row>
    <row r="23" spans="1:5" ht="12.75">
      <c r="A23" s="183" t="s">
        <v>278</v>
      </c>
      <c r="B23" s="9" t="s">
        <v>204</v>
      </c>
      <c r="C23" s="261">
        <f>'проверка выполнения техусловий'!G18*'табл 5-6'!D11</f>
        <v>3320.08</v>
      </c>
      <c r="D23" s="261"/>
      <c r="E23" s="261"/>
    </row>
    <row r="24" spans="1:5" ht="12.75">
      <c r="A24" s="183" t="s">
        <v>279</v>
      </c>
      <c r="B24" s="9" t="s">
        <v>258</v>
      </c>
      <c r="C24" s="261">
        <f>('проверка выполнения техусловий'!G10+'проверка выполнения техусловий'!G11+'проверка выполнения техусловий'!G12+'проверка выполнения техусловий'!G8+'проверка выполнения техусловий'!G9)*'табл 5-6'!D11</f>
        <v>11450.8</v>
      </c>
      <c r="D24" s="261"/>
      <c r="E24" s="261"/>
    </row>
    <row r="25" spans="1:5" ht="12.75">
      <c r="A25" s="183" t="s">
        <v>280</v>
      </c>
      <c r="B25" s="9" t="s">
        <v>260</v>
      </c>
      <c r="C25" s="261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5-6'!D11</f>
        <v>3458.1416</v>
      </c>
      <c r="D25" s="261"/>
      <c r="E25" s="261"/>
    </row>
    <row r="26" spans="1:5" ht="12.75">
      <c r="A26" s="183" t="s">
        <v>281</v>
      </c>
      <c r="B26" s="9" t="s">
        <v>262</v>
      </c>
      <c r="C26" s="261">
        <f>'проверка выполнения техусловий'!G19*'табл 5-6'!D11</f>
        <v>6380.15756</v>
      </c>
      <c r="D26" s="288"/>
      <c r="E26" s="288"/>
    </row>
    <row r="27" spans="1:5" ht="12.75">
      <c r="A27" s="183" t="s">
        <v>282</v>
      </c>
      <c r="B27" s="9" t="s">
        <v>264</v>
      </c>
      <c r="C27" s="261">
        <f>'проверка выполнения техусловий'!G20*'табл 5-6'!D11</f>
        <v>2953.1014992</v>
      </c>
      <c r="D27" s="288"/>
      <c r="E27" s="288"/>
    </row>
    <row r="28" spans="1:5" ht="40.5" customHeight="1">
      <c r="A28" s="185" t="s">
        <v>242</v>
      </c>
      <c r="B28" s="191" t="s">
        <v>283</v>
      </c>
      <c r="C28" s="284">
        <v>0</v>
      </c>
      <c r="D28" s="284">
        <v>0</v>
      </c>
      <c r="E28" s="284">
        <v>0</v>
      </c>
    </row>
    <row r="29" spans="1:5" ht="39.75" customHeight="1">
      <c r="A29" s="188" t="s">
        <v>244</v>
      </c>
      <c r="B29" s="189" t="s">
        <v>284</v>
      </c>
      <c r="C29" s="289">
        <f>C30+C31+C32+C33+C34</f>
        <v>43314.334761599996</v>
      </c>
      <c r="D29" s="287">
        <f>D7</f>
        <v>128</v>
      </c>
      <c r="E29" s="289">
        <f>C29/D29</f>
        <v>338.39324032499997</v>
      </c>
    </row>
    <row r="30" spans="1:5" ht="12.75">
      <c r="A30" s="183" t="s">
        <v>285</v>
      </c>
      <c r="B30" s="9" t="s">
        <v>204</v>
      </c>
      <c r="C30" s="261">
        <f>'фактич.действия'!G21*'табл 5-6'!D11</f>
        <v>11130.72</v>
      </c>
      <c r="D30" s="261"/>
      <c r="E30" s="261"/>
    </row>
    <row r="31" spans="1:5" ht="12.75">
      <c r="A31" s="183" t="s">
        <v>286</v>
      </c>
      <c r="B31" s="9" t="s">
        <v>258</v>
      </c>
      <c r="C31" s="261">
        <f>('фактич.действия'!G8+'фактич.действия'!G9+'фактич.действия'!G10+'фактич.действия'!G11+'фактич.действия'!G7+'фактич.действия'!G12+'фактич.действия'!G13)*'табл 5-6'!D11</f>
        <v>13453.4</v>
      </c>
      <c r="D31" s="261"/>
      <c r="E31" s="261"/>
    </row>
    <row r="32" spans="1:5" ht="12.75">
      <c r="A32" s="183" t="s">
        <v>287</v>
      </c>
      <c r="B32" s="9" t="s">
        <v>260</v>
      </c>
      <c r="C32" s="261">
        <f>('фактич.действия'!G15+'фактич.действия'!G16+'фактич.действия'!G17+'фактич.действия'!G18+'фактич.действия'!G14+'фактич.действия'!G19+'фактич.действия'!G20)*'табл 5-6'!D11</f>
        <v>4062.9267999999997</v>
      </c>
      <c r="D32" s="261"/>
      <c r="E32" s="261"/>
    </row>
    <row r="33" spans="1:5" ht="12.75">
      <c r="A33" s="183" t="s">
        <v>288</v>
      </c>
      <c r="B33" s="9" t="s">
        <v>262</v>
      </c>
      <c r="C33" s="261">
        <f>'фактич.действия'!G22*'табл 5-6'!D11</f>
        <v>10026.466379999998</v>
      </c>
      <c r="D33" s="291"/>
      <c r="E33" s="291"/>
    </row>
    <row r="34" spans="1:5" ht="13.5" thickBot="1">
      <c r="A34" s="192" t="s">
        <v>289</v>
      </c>
      <c r="B34" s="59" t="s">
        <v>264</v>
      </c>
      <c r="C34" s="261">
        <f>'фактич.действия'!G23*'табл 5-6'!D11</f>
        <v>4640.821581599999</v>
      </c>
      <c r="D34" s="292"/>
      <c r="E34" s="292"/>
    </row>
    <row r="35" spans="1:5" ht="43.5" customHeight="1" thickBot="1">
      <c r="A35" s="179" t="s">
        <v>290</v>
      </c>
      <c r="B35" s="180" t="s">
        <v>291</v>
      </c>
      <c r="C35" s="286">
        <f>C36+C50+C56+C57+C42+C43</f>
        <v>12261.430227312</v>
      </c>
      <c r="D35" s="286">
        <f>'табл 5-6'!E12</f>
        <v>150</v>
      </c>
      <c r="E35" s="286">
        <f>E36+E50+E56+E57+E42+E43</f>
        <v>81.74286818208</v>
      </c>
    </row>
    <row r="36" spans="1:5" ht="30" customHeight="1">
      <c r="A36" s="181" t="s">
        <v>202</v>
      </c>
      <c r="B36" s="182" t="s">
        <v>255</v>
      </c>
      <c r="C36" s="287">
        <f>C37+C38+C39+C40+C41</f>
        <v>3401.853299712</v>
      </c>
      <c r="D36" s="287">
        <f>D35</f>
        <v>150</v>
      </c>
      <c r="E36" s="287">
        <f>C36/D36</f>
        <v>22.67902199808</v>
      </c>
    </row>
    <row r="37" spans="1:5" ht="12.75">
      <c r="A37" s="183" t="s">
        <v>256</v>
      </c>
      <c r="B37" s="9" t="s">
        <v>204</v>
      </c>
      <c r="C37" s="261">
        <f>'выдача техусл'!G16*'табл 5-6'!D12</f>
        <v>415.01</v>
      </c>
      <c r="D37" s="288"/>
      <c r="E37" s="261"/>
    </row>
    <row r="38" spans="1:5" ht="12.75">
      <c r="A38" s="183" t="s">
        <v>257</v>
      </c>
      <c r="B38" s="9" t="s">
        <v>258</v>
      </c>
      <c r="C38" s="261">
        <f>('выдача техусл'!G9+'выдача техусл'!G10+'выдача техусл'!G11+'выдача техусл'!G8)*'табл 5-6'!D12</f>
        <v>1409.288</v>
      </c>
      <c r="D38" s="288"/>
      <c r="E38" s="261"/>
    </row>
    <row r="39" spans="1:5" ht="12.75">
      <c r="A39" s="183" t="s">
        <v>259</v>
      </c>
      <c r="B39" s="9" t="s">
        <v>260</v>
      </c>
      <c r="C39" s="261">
        <f>('выдача техусл'!G13+'выдача техусл'!G14+'выдача техусл'!G15+'выдача техусл'!G12)*'табл 5-6'!D12</f>
        <v>425.60497599999997</v>
      </c>
      <c r="D39" s="288"/>
      <c r="E39" s="261"/>
    </row>
    <row r="40" spans="1:5" ht="12.75">
      <c r="A40" s="183" t="s">
        <v>261</v>
      </c>
      <c r="B40" s="9" t="s">
        <v>262</v>
      </c>
      <c r="C40" s="261">
        <f>'выдача техусл'!G17*'табл 5-6'!D12</f>
        <v>787.4660416</v>
      </c>
      <c r="D40" s="288"/>
      <c r="E40" s="288"/>
    </row>
    <row r="41" spans="1:5" ht="12.75">
      <c r="A41" s="183" t="s">
        <v>263</v>
      </c>
      <c r="B41" s="9" t="s">
        <v>264</v>
      </c>
      <c r="C41" s="261">
        <f>'выдача техусл'!G18*'табл 5-6'!D12</f>
        <v>364.484282112</v>
      </c>
      <c r="D41" s="288"/>
      <c r="E41" s="288"/>
    </row>
    <row r="42" spans="1:5" ht="25.5" hidden="1">
      <c r="A42" s="185" t="s">
        <v>241</v>
      </c>
      <c r="B42" s="186" t="s">
        <v>265</v>
      </c>
      <c r="C42" s="284">
        <v>0</v>
      </c>
      <c r="D42" s="284">
        <v>202</v>
      </c>
      <c r="E42" s="284">
        <f>C42/D42</f>
        <v>0</v>
      </c>
    </row>
    <row r="43" spans="1:5" ht="12.75" hidden="1">
      <c r="A43" s="188" t="s">
        <v>242</v>
      </c>
      <c r="B43" s="369" t="s">
        <v>266</v>
      </c>
      <c r="C43" s="371">
        <f>C44+C46+C47+C48+C49</f>
        <v>0</v>
      </c>
      <c r="D43" s="371">
        <v>202</v>
      </c>
      <c r="E43" s="371">
        <f>C43/D43</f>
        <v>0</v>
      </c>
    </row>
    <row r="44" spans="1:5" ht="12.75" hidden="1">
      <c r="A44" s="190"/>
      <c r="B44" s="370"/>
      <c r="C44" s="372"/>
      <c r="D44" s="372"/>
      <c r="E44" s="373"/>
    </row>
    <row r="45" spans="1:5" ht="12.75" hidden="1">
      <c r="A45" s="183" t="s">
        <v>267</v>
      </c>
      <c r="B45" s="9" t="s">
        <v>268</v>
      </c>
      <c r="C45" s="290"/>
      <c r="D45" s="291"/>
      <c r="E45" s="290"/>
    </row>
    <row r="46" spans="1:5" ht="12.75" hidden="1">
      <c r="A46" s="183" t="s">
        <v>269</v>
      </c>
      <c r="B46" s="9" t="s">
        <v>270</v>
      </c>
      <c r="C46" s="288">
        <v>0</v>
      </c>
      <c r="D46" s="288"/>
      <c r="E46" s="288"/>
    </row>
    <row r="47" spans="1:5" ht="12.75" hidden="1">
      <c r="A47" s="183" t="s">
        <v>271</v>
      </c>
      <c r="B47" s="9" t="s">
        <v>272</v>
      </c>
      <c r="C47" s="288">
        <v>0</v>
      </c>
      <c r="D47" s="288"/>
      <c r="E47" s="288"/>
    </row>
    <row r="48" spans="1:5" ht="51" hidden="1">
      <c r="A48" s="183" t="s">
        <v>273</v>
      </c>
      <c r="B48" s="10" t="s">
        <v>274</v>
      </c>
      <c r="C48" s="288">
        <v>0</v>
      </c>
      <c r="D48" s="288"/>
      <c r="E48" s="288"/>
    </row>
    <row r="49" spans="1:5" ht="25.5" hidden="1">
      <c r="A49" s="183" t="s">
        <v>275</v>
      </c>
      <c r="B49" s="10" t="s">
        <v>276</v>
      </c>
      <c r="C49" s="288">
        <v>0</v>
      </c>
      <c r="D49" s="288"/>
      <c r="E49" s="288"/>
    </row>
    <row r="50" spans="1:5" ht="29.25" customHeight="1">
      <c r="A50" s="185" t="s">
        <v>241</v>
      </c>
      <c r="B50" s="191" t="s">
        <v>277</v>
      </c>
      <c r="C50" s="284">
        <f>C51+C52+C53+C54+C55</f>
        <v>3445.2850823999997</v>
      </c>
      <c r="D50" s="284">
        <f>D35</f>
        <v>150</v>
      </c>
      <c r="E50" s="284">
        <f>C50/D50</f>
        <v>22.968567215999997</v>
      </c>
    </row>
    <row r="51" spans="1:5" ht="12.75">
      <c r="A51" s="183" t="s">
        <v>278</v>
      </c>
      <c r="B51" s="9" t="s">
        <v>204</v>
      </c>
      <c r="C51" s="261">
        <f>'проверка выполнения техусловий'!G18*'табл 5-6'!D12</f>
        <v>415.01</v>
      </c>
      <c r="D51" s="288"/>
      <c r="E51" s="261"/>
    </row>
    <row r="52" spans="1:5" ht="12.75">
      <c r="A52" s="183" t="s">
        <v>279</v>
      </c>
      <c r="B52" s="9" t="s">
        <v>258</v>
      </c>
      <c r="C52" s="261">
        <f>('проверка выполнения техусловий'!G10+'проверка выполнения техусловий'!G11+'проверка выполнения техусловий'!G12+'проверка выполнения техусловий'!G8+'проверка выполнения техусловий'!G9)*'табл 5-6'!D12</f>
        <v>1431.35</v>
      </c>
      <c r="D52" s="288"/>
      <c r="E52" s="261"/>
    </row>
    <row r="53" spans="1:5" ht="12.75">
      <c r="A53" s="183" t="s">
        <v>280</v>
      </c>
      <c r="B53" s="9" t="s">
        <v>260</v>
      </c>
      <c r="C53" s="261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5-6'!D12</f>
        <v>432.2677</v>
      </c>
      <c r="D53" s="288"/>
      <c r="E53" s="261"/>
    </row>
    <row r="54" spans="1:5" ht="12.75">
      <c r="A54" s="183" t="s">
        <v>281</v>
      </c>
      <c r="B54" s="9" t="s">
        <v>262</v>
      </c>
      <c r="C54" s="261">
        <f>'проверка выполнения техусловий'!G19*'табл 5-6'!D12</f>
        <v>797.519695</v>
      </c>
      <c r="D54" s="288"/>
      <c r="E54" s="288"/>
    </row>
    <row r="55" spans="1:5" ht="12.75">
      <c r="A55" s="183" t="s">
        <v>282</v>
      </c>
      <c r="B55" s="9" t="s">
        <v>264</v>
      </c>
      <c r="C55" s="261">
        <f>'проверка выполнения техусловий'!G20*'табл 5-6'!D12</f>
        <v>369.1376874</v>
      </c>
      <c r="D55" s="288"/>
      <c r="E55" s="288"/>
    </row>
    <row r="56" spans="1:5" ht="42" customHeight="1">
      <c r="A56" s="185" t="s">
        <v>242</v>
      </c>
      <c r="B56" s="191" t="s">
        <v>283</v>
      </c>
      <c r="C56" s="284">
        <v>0</v>
      </c>
      <c r="D56" s="284">
        <v>0</v>
      </c>
      <c r="E56" s="284">
        <v>0</v>
      </c>
    </row>
    <row r="57" spans="1:5" ht="42" customHeight="1">
      <c r="A57" s="188" t="s">
        <v>244</v>
      </c>
      <c r="B57" s="191" t="s">
        <v>284</v>
      </c>
      <c r="C57" s="284">
        <f>C58+C59+C60+C61+C62</f>
        <v>5414.291845199999</v>
      </c>
      <c r="D57" s="284">
        <f>D35</f>
        <v>150</v>
      </c>
      <c r="E57" s="284">
        <f>C57/D57</f>
        <v>36.095278967999995</v>
      </c>
    </row>
    <row r="58" spans="1:5" ht="12.75">
      <c r="A58" s="183" t="s">
        <v>285</v>
      </c>
      <c r="B58" s="49" t="s">
        <v>204</v>
      </c>
      <c r="C58" s="261">
        <f>'фактич.действия'!G21*'табл 5-6'!D12</f>
        <v>1391.34</v>
      </c>
      <c r="D58" s="293"/>
      <c r="E58" s="290"/>
    </row>
    <row r="59" spans="1:5" ht="12.75">
      <c r="A59" s="183" t="s">
        <v>286</v>
      </c>
      <c r="B59" s="9" t="s">
        <v>258</v>
      </c>
      <c r="C59" s="261">
        <f>('фактич.действия'!G8+'фактич.действия'!G9+'фактич.действия'!G10+'фактич.действия'!G11+'фактич.действия'!G7+'фактич.действия'!G12+'фактич.действия'!G13)*'табл 5-6'!D12</f>
        <v>1681.675</v>
      </c>
      <c r="D59" s="294"/>
      <c r="E59" s="261"/>
    </row>
    <row r="60" spans="1:5" ht="12.75">
      <c r="A60" s="183" t="s">
        <v>287</v>
      </c>
      <c r="B60" s="9" t="s">
        <v>260</v>
      </c>
      <c r="C60" s="261">
        <f>('фактич.действия'!G15+'фактич.действия'!G16+'фактич.действия'!G17+'фактич.действия'!G18+'фактич.действия'!G14+'фактич.действия'!G19+'фактич.действия'!G20)*'табл 5-6'!D12</f>
        <v>507.86584999999997</v>
      </c>
      <c r="D60" s="294"/>
      <c r="E60" s="261"/>
    </row>
    <row r="61" spans="1:5" ht="12.75">
      <c r="A61" s="183" t="s">
        <v>288</v>
      </c>
      <c r="B61" s="9" t="s">
        <v>262</v>
      </c>
      <c r="C61" s="261">
        <f>'фактич.действия'!G22*'табл 5-6'!D12</f>
        <v>1253.3082974999998</v>
      </c>
      <c r="D61" s="293"/>
      <c r="E61" s="291"/>
    </row>
    <row r="62" spans="1:5" ht="13.5" thickBot="1">
      <c r="A62" s="192" t="s">
        <v>289</v>
      </c>
      <c r="B62" s="193" t="s">
        <v>264</v>
      </c>
      <c r="C62" s="261">
        <f>'фактич.действия'!G23*'табл 5-6'!D12</f>
        <v>580.1026976999999</v>
      </c>
      <c r="D62" s="295"/>
      <c r="E62" s="296"/>
    </row>
    <row r="63" spans="1:5" ht="43.5" customHeight="1" thickBot="1">
      <c r="A63" s="179" t="s">
        <v>292</v>
      </c>
      <c r="B63" s="180" t="s">
        <v>293</v>
      </c>
      <c r="C63" s="286">
        <f>C64+C78+C84+C85+C70+C71</f>
        <v>49045.720909248</v>
      </c>
      <c r="D63" s="286">
        <f>'табл 5-6'!E13</f>
        <v>60</v>
      </c>
      <c r="E63" s="286">
        <f>E64+E78+E84+E85+E70+E71</f>
        <v>817.4286818208</v>
      </c>
    </row>
    <row r="64" spans="1:5" ht="27" customHeight="1">
      <c r="A64" s="181" t="s">
        <v>202</v>
      </c>
      <c r="B64" s="182" t="s">
        <v>255</v>
      </c>
      <c r="C64" s="287">
        <f>C65+C66+C67+C68+C69</f>
        <v>13607.413198848</v>
      </c>
      <c r="D64" s="297">
        <f>D63</f>
        <v>60</v>
      </c>
      <c r="E64" s="287">
        <f>C64/D64</f>
        <v>226.7902199808</v>
      </c>
    </row>
    <row r="65" spans="1:5" ht="12.75">
      <c r="A65" s="183" t="s">
        <v>256</v>
      </c>
      <c r="B65" s="9" t="s">
        <v>204</v>
      </c>
      <c r="C65" s="261">
        <f>'выдача техусл'!G16*'табл 5-6'!D13</f>
        <v>1660.04</v>
      </c>
      <c r="D65" s="290"/>
      <c r="E65" s="261"/>
    </row>
    <row r="66" spans="1:5" ht="12.75">
      <c r="A66" s="183" t="s">
        <v>257</v>
      </c>
      <c r="B66" s="9" t="s">
        <v>258</v>
      </c>
      <c r="C66" s="261">
        <f>('выдача техусл'!G9+'выдача техусл'!G10+'выдача техусл'!G11+'выдача техусл'!G8)*'табл 5-6'!D13</f>
        <v>5637.152</v>
      </c>
      <c r="D66" s="261"/>
      <c r="E66" s="261"/>
    </row>
    <row r="67" spans="1:5" ht="12.75">
      <c r="A67" s="183" t="s">
        <v>259</v>
      </c>
      <c r="B67" s="9" t="s">
        <v>260</v>
      </c>
      <c r="C67" s="261">
        <f>('выдача техусл'!G13+'выдача техусл'!G14+'выдача техусл'!G15+'выдача техусл'!G12)*'табл 5-6'!D13</f>
        <v>1702.4199039999999</v>
      </c>
      <c r="D67" s="261"/>
      <c r="E67" s="261"/>
    </row>
    <row r="68" spans="1:5" ht="12.75">
      <c r="A68" s="183" t="s">
        <v>261</v>
      </c>
      <c r="B68" s="9" t="s">
        <v>262</v>
      </c>
      <c r="C68" s="261">
        <f>'выдача техусл'!G17*'табл 5-6'!D13</f>
        <v>3149.8641664</v>
      </c>
      <c r="D68" s="288"/>
      <c r="E68" s="288"/>
    </row>
    <row r="69" spans="1:5" ht="12.75">
      <c r="A69" s="183" t="s">
        <v>263</v>
      </c>
      <c r="B69" s="9" t="s">
        <v>264</v>
      </c>
      <c r="C69" s="261">
        <f>'выдача техусл'!G18*'табл 5-6'!D13</f>
        <v>1457.937128448</v>
      </c>
      <c r="D69" s="288"/>
      <c r="E69" s="288"/>
    </row>
    <row r="70" spans="1:5" ht="25.5" hidden="1">
      <c r="A70" s="185" t="s">
        <v>241</v>
      </c>
      <c r="B70" s="186" t="s">
        <v>265</v>
      </c>
      <c r="C70" s="284">
        <v>0</v>
      </c>
      <c r="D70" s="284">
        <v>32</v>
      </c>
      <c r="E70" s="284">
        <f>C70/D70</f>
        <v>0</v>
      </c>
    </row>
    <row r="71" spans="1:5" ht="12.75" hidden="1">
      <c r="A71" s="188" t="s">
        <v>242</v>
      </c>
      <c r="B71" s="369" t="s">
        <v>266</v>
      </c>
      <c r="C71" s="371">
        <f>C72+C74+C75+C76+C77</f>
        <v>0</v>
      </c>
      <c r="D71" s="371">
        <v>32</v>
      </c>
      <c r="E71" s="371">
        <f>C71/D71</f>
        <v>0</v>
      </c>
    </row>
    <row r="72" spans="1:5" ht="12.75" hidden="1">
      <c r="A72" s="190"/>
      <c r="B72" s="370"/>
      <c r="C72" s="372"/>
      <c r="D72" s="372"/>
      <c r="E72" s="373"/>
    </row>
    <row r="73" spans="1:5" ht="12.75" hidden="1">
      <c r="A73" s="183" t="s">
        <v>267</v>
      </c>
      <c r="B73" s="9" t="s">
        <v>268</v>
      </c>
      <c r="C73" s="290"/>
      <c r="D73" s="290"/>
      <c r="E73" s="290"/>
    </row>
    <row r="74" spans="1:5" ht="12.75" hidden="1">
      <c r="A74" s="183" t="s">
        <v>269</v>
      </c>
      <c r="B74" s="9" t="s">
        <v>270</v>
      </c>
      <c r="C74" s="288">
        <v>0</v>
      </c>
      <c r="D74" s="288"/>
      <c r="E74" s="288"/>
    </row>
    <row r="75" spans="1:5" ht="12.75" hidden="1">
      <c r="A75" s="183" t="s">
        <v>271</v>
      </c>
      <c r="B75" s="9" t="s">
        <v>272</v>
      </c>
      <c r="C75" s="288">
        <v>0</v>
      </c>
      <c r="D75" s="288"/>
      <c r="E75" s="288"/>
    </row>
    <row r="76" spans="1:5" ht="51" hidden="1">
      <c r="A76" s="183" t="s">
        <v>273</v>
      </c>
      <c r="B76" s="10" t="s">
        <v>274</v>
      </c>
      <c r="C76" s="288">
        <v>0</v>
      </c>
      <c r="D76" s="288"/>
      <c r="E76" s="288"/>
    </row>
    <row r="77" spans="1:5" ht="25.5" hidden="1">
      <c r="A77" s="183" t="s">
        <v>275</v>
      </c>
      <c r="B77" s="10" t="s">
        <v>276</v>
      </c>
      <c r="C77" s="288">
        <v>0</v>
      </c>
      <c r="D77" s="292"/>
      <c r="E77" s="288"/>
    </row>
    <row r="78" spans="1:5" ht="25.5">
      <c r="A78" s="185" t="s">
        <v>241</v>
      </c>
      <c r="B78" s="191" t="s">
        <v>277</v>
      </c>
      <c r="C78" s="284">
        <f>C79+C80+C81+C82+C83</f>
        <v>13781.140329599999</v>
      </c>
      <c r="D78" s="298">
        <f>D63</f>
        <v>60</v>
      </c>
      <c r="E78" s="284">
        <f>C78/D78</f>
        <v>229.68567216</v>
      </c>
    </row>
    <row r="79" spans="1:5" ht="12.75">
      <c r="A79" s="183" t="s">
        <v>278</v>
      </c>
      <c r="B79" s="9" t="s">
        <v>204</v>
      </c>
      <c r="C79" s="261">
        <f>'проверка выполнения техусловий'!G18*'табл 5-6'!D13</f>
        <v>1660.04</v>
      </c>
      <c r="D79" s="290"/>
      <c r="E79" s="261"/>
    </row>
    <row r="80" spans="1:5" ht="12.75">
      <c r="A80" s="183" t="s">
        <v>279</v>
      </c>
      <c r="B80" s="9" t="s">
        <v>258</v>
      </c>
      <c r="C80" s="261">
        <f>('проверка выполнения техусловий'!G10+'проверка выполнения техусловий'!G11+'проверка выполнения техусловий'!G12+'проверка выполнения техусловий'!G8+'проверка выполнения техусловий'!G9)*'табл 5-6'!D13</f>
        <v>5725.4</v>
      </c>
      <c r="D80" s="261"/>
      <c r="E80" s="261"/>
    </row>
    <row r="81" spans="1:5" ht="12.75">
      <c r="A81" s="183" t="s">
        <v>280</v>
      </c>
      <c r="B81" s="9" t="s">
        <v>260</v>
      </c>
      <c r="C81" s="261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5-6'!D13</f>
        <v>1729.0708</v>
      </c>
      <c r="D81" s="261"/>
      <c r="E81" s="261"/>
    </row>
    <row r="82" spans="1:5" ht="12.75">
      <c r="A82" s="183" t="s">
        <v>281</v>
      </c>
      <c r="B82" s="9" t="s">
        <v>262</v>
      </c>
      <c r="C82" s="261">
        <f>'проверка выполнения техусловий'!G19*'табл 5-6'!D13</f>
        <v>3190.07878</v>
      </c>
      <c r="D82" s="288"/>
      <c r="E82" s="288"/>
    </row>
    <row r="83" spans="1:5" ht="12.75">
      <c r="A83" s="183" t="s">
        <v>282</v>
      </c>
      <c r="B83" s="9" t="s">
        <v>264</v>
      </c>
      <c r="C83" s="261">
        <f>'проверка выполнения техусловий'!G20*'табл 5-6'!D13</f>
        <v>1476.5507496</v>
      </c>
      <c r="D83" s="288"/>
      <c r="E83" s="288"/>
    </row>
    <row r="84" spans="1:5" ht="41.25" customHeight="1">
      <c r="A84" s="185" t="s">
        <v>242</v>
      </c>
      <c r="B84" s="191" t="s">
        <v>283</v>
      </c>
      <c r="C84" s="284">
        <v>0</v>
      </c>
      <c r="D84" s="298">
        <v>0</v>
      </c>
      <c r="E84" s="284">
        <v>0</v>
      </c>
    </row>
    <row r="85" spans="1:5" ht="42.75" customHeight="1">
      <c r="A85" s="188" t="s">
        <v>244</v>
      </c>
      <c r="B85" s="191" t="s">
        <v>284</v>
      </c>
      <c r="C85" s="284">
        <f>C86+C87+C88+C89+C90</f>
        <v>21657.167380799998</v>
      </c>
      <c r="D85" s="298">
        <f>D63</f>
        <v>60</v>
      </c>
      <c r="E85" s="284">
        <f>C85/D85</f>
        <v>360.95278967999997</v>
      </c>
    </row>
    <row r="86" spans="1:5" ht="12.75">
      <c r="A86" s="183" t="s">
        <v>285</v>
      </c>
      <c r="B86" s="49" t="s">
        <v>204</v>
      </c>
      <c r="C86" s="261">
        <f>'фактич.действия'!G21*'табл 5-6'!D13</f>
        <v>5565.36</v>
      </c>
      <c r="D86" s="290"/>
      <c r="E86" s="290"/>
    </row>
    <row r="87" spans="1:5" ht="12.75">
      <c r="A87" s="183" t="s">
        <v>286</v>
      </c>
      <c r="B87" s="9" t="s">
        <v>258</v>
      </c>
      <c r="C87" s="261">
        <f>('фактич.действия'!G8+'фактич.действия'!G9+'фактич.действия'!G10+'фактич.действия'!G11+'фактич.действия'!G7+'фактич.действия'!G12+'фактич.действия'!G13)*'табл 5-6'!D13</f>
        <v>6726.7</v>
      </c>
      <c r="D87" s="261"/>
      <c r="E87" s="261"/>
    </row>
    <row r="88" spans="1:5" ht="12.75">
      <c r="A88" s="183" t="s">
        <v>287</v>
      </c>
      <c r="B88" s="9" t="s">
        <v>260</v>
      </c>
      <c r="C88" s="261">
        <f>('фактич.действия'!G15+'фактич.действия'!G16+'фактич.действия'!G17+'фактич.действия'!G18+'фактич.действия'!G14+'фактич.действия'!G19+'фактич.действия'!G20)*'табл 5-6'!D13</f>
        <v>2031.4633999999999</v>
      </c>
      <c r="D88" s="261"/>
      <c r="E88" s="261"/>
    </row>
    <row r="89" spans="1:5" ht="12.75">
      <c r="A89" s="183" t="s">
        <v>288</v>
      </c>
      <c r="B89" s="9" t="s">
        <v>262</v>
      </c>
      <c r="C89" s="261">
        <f>'фактич.действия'!G22*'табл 5-6'!D13</f>
        <v>5013.233189999999</v>
      </c>
      <c r="D89" s="291"/>
      <c r="E89" s="291"/>
    </row>
    <row r="90" spans="1:5" ht="13.5" thickBot="1">
      <c r="A90" s="192" t="s">
        <v>289</v>
      </c>
      <c r="B90" s="193" t="s">
        <v>264</v>
      </c>
      <c r="C90" s="261">
        <f>'фактич.действия'!G23*'табл 5-6'!D13</f>
        <v>2320.4107907999996</v>
      </c>
      <c r="D90" s="296"/>
      <c r="E90" s="296"/>
    </row>
    <row r="91" spans="1:5" ht="31.5" customHeight="1" thickBot="1">
      <c r="A91" s="179" t="s">
        <v>294</v>
      </c>
      <c r="B91" s="180" t="s">
        <v>295</v>
      </c>
      <c r="C91" s="286">
        <f>C92+C106+C112+C113+C98+C99</f>
        <v>0</v>
      </c>
      <c r="D91" s="299">
        <f>'табл 5-6'!E14</f>
        <v>0</v>
      </c>
      <c r="E91" s="286" t="e">
        <f>E92+E106+E112+E113+E98+E99</f>
        <v>#DIV/0!</v>
      </c>
    </row>
    <row r="92" spans="1:5" ht="29.25" customHeight="1">
      <c r="A92" s="181" t="s">
        <v>202</v>
      </c>
      <c r="B92" s="182" t="s">
        <v>255</v>
      </c>
      <c r="C92" s="287">
        <f>(C93+C94+C95+C96+C97)*1</f>
        <v>0</v>
      </c>
      <c r="D92" s="287">
        <f>D91</f>
        <v>0</v>
      </c>
      <c r="E92" s="287" t="e">
        <f>C92/D92</f>
        <v>#DIV/0!</v>
      </c>
    </row>
    <row r="93" spans="1:5" ht="12.75">
      <c r="A93" s="183" t="s">
        <v>256</v>
      </c>
      <c r="B93" s="9" t="s">
        <v>204</v>
      </c>
      <c r="C93" s="261">
        <f>'выдача техусл'!G16*'табл 5-6'!D14</f>
        <v>0</v>
      </c>
      <c r="D93" s="261"/>
      <c r="E93" s="261"/>
    </row>
    <row r="94" spans="1:5" ht="12.75">
      <c r="A94" s="183" t="s">
        <v>257</v>
      </c>
      <c r="B94" s="9" t="s">
        <v>258</v>
      </c>
      <c r="C94" s="261">
        <f>('выдача техусл'!G9+'выдача техусл'!G10+'выдача техусл'!G11+'выдача техусл'!G8)*'табл 5-6'!D14</f>
        <v>0</v>
      </c>
      <c r="D94" s="261"/>
      <c r="E94" s="261"/>
    </row>
    <row r="95" spans="1:5" ht="12.75">
      <c r="A95" s="183" t="s">
        <v>259</v>
      </c>
      <c r="B95" s="9" t="s">
        <v>260</v>
      </c>
      <c r="C95" s="261">
        <f>('выдача техусл'!G13+'выдача техусл'!G14+'выдача техусл'!G15+'выдача техусл'!G12)*'табл 5-6'!D14</f>
        <v>0</v>
      </c>
      <c r="D95" s="261"/>
      <c r="E95" s="261"/>
    </row>
    <row r="96" spans="1:5" ht="12.75">
      <c r="A96" s="183" t="s">
        <v>261</v>
      </c>
      <c r="B96" s="9" t="s">
        <v>262</v>
      </c>
      <c r="C96" s="261">
        <f>'выдача техусл'!G17*'табл 5-6'!D14</f>
        <v>0</v>
      </c>
      <c r="D96" s="288"/>
      <c r="E96" s="288"/>
    </row>
    <row r="97" spans="1:5" ht="12.75">
      <c r="A97" s="183" t="s">
        <v>263</v>
      </c>
      <c r="B97" s="9" t="s">
        <v>264</v>
      </c>
      <c r="C97" s="261">
        <f>'выдача техусл'!G18*'табл 5-6'!D14</f>
        <v>0</v>
      </c>
      <c r="D97" s="288"/>
      <c r="E97" s="288"/>
    </row>
    <row r="98" spans="1:5" ht="25.5" hidden="1">
      <c r="A98" s="185" t="s">
        <v>241</v>
      </c>
      <c r="B98" s="186" t="s">
        <v>265</v>
      </c>
      <c r="C98" s="284">
        <v>0</v>
      </c>
      <c r="D98" s="287">
        <v>222.5</v>
      </c>
      <c r="E98" s="284">
        <f>C98/D98</f>
        <v>0</v>
      </c>
    </row>
    <row r="99" spans="1:5" ht="12.75" hidden="1">
      <c r="A99" s="188" t="s">
        <v>242</v>
      </c>
      <c r="B99" s="369" t="s">
        <v>266</v>
      </c>
      <c r="C99" s="371">
        <f>C100+C102+C103+C104+C105</f>
        <v>0</v>
      </c>
      <c r="D99" s="371">
        <v>222.5</v>
      </c>
      <c r="E99" s="371">
        <f>C99/D99</f>
        <v>0</v>
      </c>
    </row>
    <row r="100" spans="1:5" ht="12.75" hidden="1">
      <c r="A100" s="190"/>
      <c r="B100" s="370"/>
      <c r="C100" s="372"/>
      <c r="D100" s="372"/>
      <c r="E100" s="373"/>
    </row>
    <row r="101" spans="1:5" ht="12.75" hidden="1">
      <c r="A101" s="183" t="s">
        <v>267</v>
      </c>
      <c r="B101" s="9" t="s">
        <v>268</v>
      </c>
      <c r="C101" s="290"/>
      <c r="D101" s="287">
        <v>222.5</v>
      </c>
      <c r="E101" s="290"/>
    </row>
    <row r="102" spans="1:5" ht="12.75" hidden="1">
      <c r="A102" s="183" t="s">
        <v>269</v>
      </c>
      <c r="B102" s="9" t="s">
        <v>270</v>
      </c>
      <c r="C102" s="288">
        <v>0</v>
      </c>
      <c r="D102" s="287">
        <v>222.5</v>
      </c>
      <c r="E102" s="288"/>
    </row>
    <row r="103" spans="1:5" ht="12.75" hidden="1">
      <c r="A103" s="183" t="s">
        <v>271</v>
      </c>
      <c r="B103" s="9" t="s">
        <v>272</v>
      </c>
      <c r="C103" s="288">
        <v>0</v>
      </c>
      <c r="D103" s="287">
        <v>222.5</v>
      </c>
      <c r="E103" s="288"/>
    </row>
    <row r="104" spans="1:5" ht="51" hidden="1">
      <c r="A104" s="183" t="s">
        <v>273</v>
      </c>
      <c r="B104" s="10" t="s">
        <v>274</v>
      </c>
      <c r="C104" s="288">
        <v>0</v>
      </c>
      <c r="D104" s="287">
        <v>222.5</v>
      </c>
      <c r="E104" s="288"/>
    </row>
    <row r="105" spans="1:5" ht="25.5" hidden="1">
      <c r="A105" s="183" t="s">
        <v>275</v>
      </c>
      <c r="B105" s="10" t="s">
        <v>276</v>
      </c>
      <c r="C105" s="288">
        <v>0</v>
      </c>
      <c r="D105" s="287">
        <v>222.5</v>
      </c>
      <c r="E105" s="288"/>
    </row>
    <row r="106" spans="1:5" ht="25.5">
      <c r="A106" s="185" t="s">
        <v>241</v>
      </c>
      <c r="B106" s="191" t="s">
        <v>277</v>
      </c>
      <c r="C106" s="284">
        <f>(C107+C108+C109+C110+C111)*1</f>
        <v>0</v>
      </c>
      <c r="D106" s="287">
        <f>D91</f>
        <v>0</v>
      </c>
      <c r="E106" s="284" t="e">
        <f>C106/D106</f>
        <v>#DIV/0!</v>
      </c>
    </row>
    <row r="107" spans="1:5" ht="12.75">
      <c r="A107" s="183" t="s">
        <v>278</v>
      </c>
      <c r="B107" s="9" t="s">
        <v>204</v>
      </c>
      <c r="C107" s="261">
        <f>'проверка выполнения техусловий'!G18*'табл 5-6'!D14</f>
        <v>0</v>
      </c>
      <c r="D107" s="284"/>
      <c r="E107" s="261"/>
    </row>
    <row r="108" spans="1:5" ht="12.75">
      <c r="A108" s="183" t="s">
        <v>279</v>
      </c>
      <c r="B108" s="9" t="s">
        <v>258</v>
      </c>
      <c r="C108" s="261">
        <f>('проверка выполнения техусловий'!G10+'проверка выполнения техусловий'!G11+'проверка выполнения техусловий'!G12+'проверка выполнения техусловий'!G8+'проверка выполнения техусловий'!G9)*'табл 5-6'!D14</f>
        <v>0</v>
      </c>
      <c r="D108" s="287"/>
      <c r="E108" s="261"/>
    </row>
    <row r="109" spans="1:5" ht="12.75">
      <c r="A109" s="183" t="s">
        <v>280</v>
      </c>
      <c r="B109" s="9" t="s">
        <v>260</v>
      </c>
      <c r="C109" s="261">
        <f>('проверка выполнения техусловий'!G15+'проверка выполнения техусловий'!G16+'проверка выполнения техусловий'!G17+'проверка выполнения техусловий'!G13+'проверка выполнения техусловий'!G14)*'табл 5-6'!D14</f>
        <v>0</v>
      </c>
      <c r="D109" s="287"/>
      <c r="E109" s="261"/>
    </row>
    <row r="110" spans="1:5" ht="12.75">
      <c r="A110" s="183" t="s">
        <v>281</v>
      </c>
      <c r="B110" s="9" t="s">
        <v>262</v>
      </c>
      <c r="C110" s="261">
        <f>'проверка выполнения техусловий'!G19*'табл 5-6'!D14</f>
        <v>0</v>
      </c>
      <c r="D110" s="287"/>
      <c r="E110" s="288"/>
    </row>
    <row r="111" spans="1:5" ht="12.75">
      <c r="A111" s="183" t="s">
        <v>282</v>
      </c>
      <c r="B111" s="9" t="s">
        <v>264</v>
      </c>
      <c r="C111" s="261">
        <f>'проверка выполнения техусловий'!G20*'табл 5-6'!D14</f>
        <v>0</v>
      </c>
      <c r="D111" s="287"/>
      <c r="E111" s="288"/>
    </row>
    <row r="112" spans="1:5" ht="41.25" customHeight="1">
      <c r="A112" s="185" t="s">
        <v>242</v>
      </c>
      <c r="B112" s="191" t="s">
        <v>283</v>
      </c>
      <c r="C112" s="284">
        <v>0</v>
      </c>
      <c r="D112" s="298">
        <v>0</v>
      </c>
      <c r="E112" s="284">
        <v>0</v>
      </c>
    </row>
    <row r="113" spans="1:5" ht="41.25" customHeight="1">
      <c r="A113" s="188" t="s">
        <v>244</v>
      </c>
      <c r="B113" s="191" t="s">
        <v>284</v>
      </c>
      <c r="C113" s="284">
        <f>C114+C115+C116+C117+C118</f>
        <v>0</v>
      </c>
      <c r="D113" s="287">
        <f>D91</f>
        <v>0</v>
      </c>
      <c r="E113" s="284" t="e">
        <f>C113/D113</f>
        <v>#DIV/0!</v>
      </c>
    </row>
    <row r="114" spans="1:5" ht="12.75">
      <c r="A114" s="183" t="s">
        <v>285</v>
      </c>
      <c r="B114" s="49" t="s">
        <v>204</v>
      </c>
      <c r="C114" s="261">
        <f>'фактич.действия'!G21*'табл 5-6'!D14</f>
        <v>0</v>
      </c>
      <c r="D114" s="290"/>
      <c r="E114" s="290"/>
    </row>
    <row r="115" spans="1:5" ht="12.75">
      <c r="A115" s="183" t="s">
        <v>286</v>
      </c>
      <c r="B115" s="9" t="s">
        <v>258</v>
      </c>
      <c r="C115" s="261">
        <f>('фактич.действия'!G8+'фактич.действия'!G9+'фактич.действия'!G10+'фактич.действия'!G11+'фактич.действия'!G7+'фактич.действия'!G12+'фактич.действия'!G13)*'табл 5-6'!D14</f>
        <v>0</v>
      </c>
      <c r="D115" s="261"/>
      <c r="E115" s="261"/>
    </row>
    <row r="116" spans="1:5" ht="12.75">
      <c r="A116" s="183" t="s">
        <v>287</v>
      </c>
      <c r="B116" s="9" t="s">
        <v>260</v>
      </c>
      <c r="C116" s="261">
        <f>('фактич.действия'!G15+'фактич.действия'!G16+'фактич.действия'!G17+'фактич.действия'!G18+'фактич.действия'!G14+'фактич.действия'!G19+'фактич.действия'!G20)*'табл 5-6'!D14</f>
        <v>0</v>
      </c>
      <c r="D116" s="261"/>
      <c r="E116" s="261"/>
    </row>
    <row r="117" spans="1:5" ht="12.75">
      <c r="A117" s="183" t="s">
        <v>288</v>
      </c>
      <c r="B117" s="9" t="s">
        <v>262</v>
      </c>
      <c r="C117" s="261">
        <f>'фактич.действия'!G22*'табл 5-6'!D14</f>
        <v>0</v>
      </c>
      <c r="D117" s="291"/>
      <c r="E117" s="291"/>
    </row>
    <row r="118" spans="1:5" ht="13.5" thickBot="1">
      <c r="A118" s="192" t="s">
        <v>289</v>
      </c>
      <c r="B118" s="59" t="s">
        <v>264</v>
      </c>
      <c r="C118" s="261">
        <f>'фактич.действия'!G23*'табл 5-6'!D14</f>
        <v>0</v>
      </c>
      <c r="D118" s="292"/>
      <c r="E118" s="292"/>
    </row>
    <row r="119" spans="1:5" ht="32.25" customHeight="1" thickBot="1">
      <c r="A119" s="179" t="s">
        <v>296</v>
      </c>
      <c r="B119" s="180" t="s">
        <v>297</v>
      </c>
      <c r="C119" s="299">
        <f>C7+C35+C63+C91</f>
        <v>159398.592955056</v>
      </c>
      <c r="D119" s="299">
        <f>D7+D35+D63+D91</f>
        <v>338</v>
      </c>
      <c r="E119" s="299">
        <f>C119/D119</f>
        <v>471.59347028123074</v>
      </c>
    </row>
    <row r="120" spans="1:5" ht="12.75">
      <c r="A120" s="194"/>
      <c r="B120" s="195"/>
      <c r="C120" s="196"/>
      <c r="D120" s="196"/>
      <c r="E120" s="196"/>
    </row>
    <row r="121" spans="1:5" ht="12.75">
      <c r="A121" s="194"/>
      <c r="B121" s="195"/>
      <c r="C121" s="196"/>
      <c r="D121" s="196"/>
      <c r="E121" s="196"/>
    </row>
    <row r="122" ht="12.75">
      <c r="A122" s="6"/>
    </row>
    <row r="123" ht="12.75">
      <c r="A123" s="6"/>
    </row>
  </sheetData>
  <sheetProtection/>
  <mergeCells count="18">
    <mergeCell ref="B99:B100"/>
    <mergeCell ref="C99:C100"/>
    <mergeCell ref="D99:D100"/>
    <mergeCell ref="E99:E100"/>
    <mergeCell ref="B43:B44"/>
    <mergeCell ref="C43:C44"/>
    <mergeCell ref="D43:D44"/>
    <mergeCell ref="E43:E44"/>
    <mergeCell ref="B71:B72"/>
    <mergeCell ref="C71:C72"/>
    <mergeCell ref="D71:D72"/>
    <mergeCell ref="E71:E72"/>
    <mergeCell ref="A1:E1"/>
    <mergeCell ref="A2:E3"/>
    <mergeCell ref="B15:B16"/>
    <mergeCell ref="C15:C16"/>
    <mergeCell ref="D15:D16"/>
    <mergeCell ref="E15:E16"/>
  </mergeCells>
  <printOptions/>
  <pageMargins left="0.9055118110236221" right="0.11811023622047245" top="0.7480314960629921" bottom="0.5511811023622047" header="0.31496062992125984" footer="0.31496062992125984"/>
  <pageSetup fitToWidth="2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17" sqref="D17"/>
    </sheetView>
  </sheetViews>
  <sheetFormatPr defaultColWidth="9.00390625" defaultRowHeight="12.75"/>
  <cols>
    <col min="1" max="1" width="7.375" style="0" customWidth="1"/>
    <col min="2" max="2" width="44.00390625" style="0" customWidth="1"/>
    <col min="3" max="3" width="19.00390625" style="0" customWidth="1"/>
    <col min="4" max="4" width="17.375" style="0" customWidth="1"/>
    <col min="5" max="5" width="18.125" style="0" customWidth="1"/>
  </cols>
  <sheetData>
    <row r="1" spans="1:5" ht="40.5" customHeight="1">
      <c r="A1" s="362" t="s">
        <v>367</v>
      </c>
      <c r="B1" s="363"/>
      <c r="C1" s="363"/>
      <c r="D1" s="363"/>
      <c r="E1" s="363"/>
    </row>
    <row r="2" spans="1:5" ht="12.75">
      <c r="A2" s="362" t="s">
        <v>246</v>
      </c>
      <c r="B2" s="363"/>
      <c r="C2" s="363"/>
      <c r="D2" s="363"/>
      <c r="E2" s="363"/>
    </row>
    <row r="3" spans="1:5" ht="12.75">
      <c r="A3" s="362"/>
      <c r="B3" s="363"/>
      <c r="C3" s="363"/>
      <c r="D3" s="363"/>
      <c r="E3" s="363"/>
    </row>
    <row r="4" spans="1:5" ht="12.75">
      <c r="A4" s="6"/>
      <c r="E4" s="176" t="s">
        <v>247</v>
      </c>
    </row>
    <row r="5" spans="1:5" ht="78.75" customHeight="1">
      <c r="A5" s="177" t="s">
        <v>248</v>
      </c>
      <c r="B5" s="201" t="s">
        <v>249</v>
      </c>
      <c r="C5" s="202" t="s">
        <v>250</v>
      </c>
      <c r="D5" s="202" t="s">
        <v>251</v>
      </c>
      <c r="E5" s="202" t="s">
        <v>252</v>
      </c>
    </row>
    <row r="6" spans="1:5" ht="13.5" thickBot="1">
      <c r="A6" s="58">
        <v>1</v>
      </c>
      <c r="B6" s="58">
        <v>2</v>
      </c>
      <c r="C6" s="58">
        <v>3</v>
      </c>
      <c r="D6" s="58">
        <v>4</v>
      </c>
      <c r="E6" s="58">
        <v>5</v>
      </c>
    </row>
    <row r="7" spans="1:5" ht="31.5" customHeight="1" thickBot="1">
      <c r="A7" s="179"/>
      <c r="B7" s="180" t="s">
        <v>297</v>
      </c>
      <c r="C7" s="299">
        <f>C8+C9+C10+C11</f>
        <v>159398.592955056</v>
      </c>
      <c r="D7" s="299">
        <f>'табл 5-6'!E16</f>
        <v>338</v>
      </c>
      <c r="E7" s="299">
        <f>C7/D7</f>
        <v>471.59347028123074</v>
      </c>
    </row>
    <row r="8" spans="1:5" ht="30.75" customHeight="1">
      <c r="A8" s="200" t="s">
        <v>202</v>
      </c>
      <c r="B8" s="191" t="s">
        <v>255</v>
      </c>
      <c r="C8" s="284">
        <f>'Кальк.мероприятий'!C8+'Кальк.мероприятий'!C36+'Кальк.мероприятий'!C64+'Кальк.мероприятий'!C92</f>
        <v>44224.092896256</v>
      </c>
      <c r="D8" s="284">
        <f>D7</f>
        <v>338</v>
      </c>
      <c r="E8" s="284">
        <f>C8/D8</f>
        <v>130.84051152738462</v>
      </c>
    </row>
    <row r="9" spans="1:5" ht="36.75" customHeight="1">
      <c r="A9" s="185" t="s">
        <v>241</v>
      </c>
      <c r="B9" s="191" t="s">
        <v>277</v>
      </c>
      <c r="C9" s="284">
        <f>'Кальк.мероприятий'!C22+'Кальк.мероприятий'!C50+'Кальк.мероприятий'!C78+'Кальк.мероприятий'!C106</f>
        <v>44788.706071199995</v>
      </c>
      <c r="D9" s="284">
        <f>D7</f>
        <v>338</v>
      </c>
      <c r="E9" s="284">
        <f>C9/D9</f>
        <v>132.5109647076923</v>
      </c>
    </row>
    <row r="10" spans="1:5" ht="45.75" customHeight="1">
      <c r="A10" s="185" t="s">
        <v>242</v>
      </c>
      <c r="B10" s="191" t="s">
        <v>283</v>
      </c>
      <c r="C10" s="284">
        <f>'Кальк.мероприятий'!C28+'Кальк.мероприятий'!C56+'Кальк.мероприятий'!C84+'Кальк.мероприятий'!C112</f>
        <v>0</v>
      </c>
      <c r="D10" s="284">
        <v>0</v>
      </c>
      <c r="E10" s="284">
        <v>0</v>
      </c>
    </row>
    <row r="11" spans="1:5" ht="50.25" customHeight="1">
      <c r="A11" s="185" t="s">
        <v>244</v>
      </c>
      <c r="B11" s="191" t="s">
        <v>284</v>
      </c>
      <c r="C11" s="284">
        <f>'Кальк.мероприятий'!C29+'Кальк.мероприятий'!C57+'Кальк.мероприятий'!C85+'Кальк.мероприятий'!C113</f>
        <v>70385.79398759999</v>
      </c>
      <c r="D11" s="284">
        <f>D7</f>
        <v>338</v>
      </c>
      <c r="E11" s="284">
        <f>C11/D11</f>
        <v>208.24199404615382</v>
      </c>
    </row>
    <row r="12" spans="1:5" ht="12.75">
      <c r="A12" s="194"/>
      <c r="B12" s="195"/>
      <c r="C12" s="196"/>
      <c r="D12" s="196"/>
      <c r="E12" s="196"/>
    </row>
    <row r="13" spans="1:5" ht="12.75">
      <c r="A13" s="194"/>
      <c r="B13" s="195"/>
      <c r="C13" s="196"/>
      <c r="D13" s="196"/>
      <c r="E13" s="196"/>
    </row>
    <row r="14" ht="12.75">
      <c r="A14" s="6"/>
    </row>
    <row r="15" ht="12.75">
      <c r="A15" s="6"/>
    </row>
    <row r="16" ht="12.75">
      <c r="A16" s="6"/>
    </row>
  </sheetData>
  <sheetProtection/>
  <mergeCells count="2">
    <mergeCell ref="A2:E3"/>
    <mergeCell ref="A1:E1"/>
  </mergeCells>
  <printOptions/>
  <pageMargins left="0.7086614173228347" right="0.7086614173228347" top="0.7480314960629921" bottom="0.7480314960629921" header="0.31496062992125984" footer="0.31496062992125984"/>
  <pageSetup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6.125" style="0" customWidth="1"/>
    <col min="2" max="2" width="38.125" style="0" customWidth="1"/>
    <col min="3" max="3" width="10.375" style="0" customWidth="1"/>
    <col min="4" max="4" width="19.625" style="0" hidden="1" customWidth="1"/>
    <col min="5" max="5" width="24.375" style="0" customWidth="1"/>
    <col min="6" max="6" width="21.25390625" style="0" customWidth="1"/>
    <col min="7" max="7" width="27.75390625" style="0" customWidth="1"/>
    <col min="8" max="8" width="7.125" style="0" customWidth="1"/>
    <col min="9" max="9" width="9.00390625" style="0" customWidth="1"/>
  </cols>
  <sheetData>
    <row r="1" spans="1:10" ht="18.75">
      <c r="A1" s="1"/>
      <c r="B1" s="1"/>
      <c r="C1" s="27"/>
      <c r="D1" s="1"/>
      <c r="E1" s="1"/>
      <c r="F1" s="1"/>
      <c r="G1" s="1"/>
      <c r="H1" s="3"/>
      <c r="I1" s="3"/>
      <c r="J1" s="5"/>
    </row>
    <row r="2" spans="1:10" ht="15">
      <c r="A2" s="327" t="s">
        <v>2</v>
      </c>
      <c r="B2" s="327"/>
      <c r="C2" s="327"/>
      <c r="D2" s="327"/>
      <c r="E2" s="327"/>
      <c r="F2" s="327"/>
      <c r="G2" s="327"/>
      <c r="H2" s="4"/>
      <c r="I2" s="4"/>
      <c r="J2" s="4"/>
    </row>
    <row r="3" spans="1:10" ht="15.75">
      <c r="A3" s="327" t="s">
        <v>73</v>
      </c>
      <c r="B3" s="327"/>
      <c r="C3" s="327"/>
      <c r="D3" s="327"/>
      <c r="E3" s="327"/>
      <c r="F3" s="327"/>
      <c r="G3" s="327"/>
      <c r="H3" s="2"/>
      <c r="I3" s="2"/>
      <c r="J3" s="2"/>
    </row>
    <row r="4" spans="1:10" ht="15.75">
      <c r="A4" s="327" t="s">
        <v>350</v>
      </c>
      <c r="B4" s="327"/>
      <c r="C4" s="327"/>
      <c r="D4" s="327"/>
      <c r="E4" s="327"/>
      <c r="F4" s="327"/>
      <c r="G4" s="327"/>
      <c r="H4" s="2"/>
      <c r="I4" s="2"/>
      <c r="J4" s="2"/>
    </row>
    <row r="5" spans="1:10" ht="15.75">
      <c r="A5" s="327" t="s">
        <v>384</v>
      </c>
      <c r="B5" s="327"/>
      <c r="C5" s="327"/>
      <c r="D5" s="327"/>
      <c r="E5" s="327"/>
      <c r="F5" s="327"/>
      <c r="G5" s="327"/>
      <c r="H5" s="2"/>
      <c r="I5" s="2"/>
      <c r="J5" s="2"/>
    </row>
    <row r="7" spans="1:8" ht="30.75" customHeight="1">
      <c r="A7" s="14" t="s">
        <v>10</v>
      </c>
      <c r="B7" s="14" t="s">
        <v>8</v>
      </c>
      <c r="C7" s="14" t="s">
        <v>9</v>
      </c>
      <c r="D7" s="14" t="s">
        <v>5</v>
      </c>
      <c r="E7" s="15" t="s">
        <v>329</v>
      </c>
      <c r="F7" s="15" t="s">
        <v>325</v>
      </c>
      <c r="G7" s="15" t="s">
        <v>12</v>
      </c>
      <c r="H7" s="6"/>
    </row>
    <row r="8" spans="1:8" ht="24.75" customHeight="1">
      <c r="A8" s="8">
        <v>1</v>
      </c>
      <c r="B8" s="208" t="s">
        <v>307</v>
      </c>
      <c r="C8" s="8" t="s">
        <v>4</v>
      </c>
      <c r="D8" s="14"/>
      <c r="E8" s="209">
        <f>зарплата!G13</f>
        <v>192.4</v>
      </c>
      <c r="F8" s="78">
        <v>1.5</v>
      </c>
      <c r="G8" s="78">
        <f aca="true" t="shared" si="0" ref="G8:G17">E8*F8</f>
        <v>288.6</v>
      </c>
      <c r="H8" s="6"/>
    </row>
    <row r="9" spans="1:8" ht="27.75" customHeight="1">
      <c r="A9" s="8">
        <v>2</v>
      </c>
      <c r="B9" s="204" t="s">
        <v>371</v>
      </c>
      <c r="C9" s="8" t="s">
        <v>4</v>
      </c>
      <c r="D9" s="14"/>
      <c r="E9" s="209">
        <f>зарплата!G14</f>
        <v>365.6</v>
      </c>
      <c r="F9" s="78">
        <v>1.5</v>
      </c>
      <c r="G9" s="78">
        <f t="shared" si="0"/>
        <v>548.4000000000001</v>
      </c>
      <c r="H9" s="6"/>
    </row>
    <row r="10" spans="1:7" ht="24.75" customHeight="1">
      <c r="A10" s="8">
        <v>3</v>
      </c>
      <c r="B10" s="9" t="s">
        <v>67</v>
      </c>
      <c r="C10" s="8" t="s">
        <v>4</v>
      </c>
      <c r="D10" s="20" t="s">
        <v>24</v>
      </c>
      <c r="E10" s="210">
        <f>зарплата!G18</f>
        <v>116.8</v>
      </c>
      <c r="F10" s="78">
        <v>2</v>
      </c>
      <c r="G10" s="78">
        <f t="shared" si="0"/>
        <v>233.6</v>
      </c>
    </row>
    <row r="11" spans="1:7" ht="24.75" customHeight="1">
      <c r="A11" s="8">
        <v>4</v>
      </c>
      <c r="B11" s="10" t="s">
        <v>372</v>
      </c>
      <c r="C11" s="8" t="s">
        <v>4</v>
      </c>
      <c r="D11" s="9" t="s">
        <v>18</v>
      </c>
      <c r="E11" s="260">
        <f>зарплата!G15</f>
        <v>116.8</v>
      </c>
      <c r="F11" s="315">
        <v>1.5</v>
      </c>
      <c r="G11" s="78">
        <f t="shared" si="0"/>
        <v>175.2</v>
      </c>
    </row>
    <row r="12" spans="1:7" ht="23.25" customHeight="1">
      <c r="A12" s="8">
        <v>5</v>
      </c>
      <c r="B12" s="9" t="s">
        <v>3</v>
      </c>
      <c r="C12" s="8" t="s">
        <v>4</v>
      </c>
      <c r="D12" s="28" t="s">
        <v>25</v>
      </c>
      <c r="E12" s="210">
        <f>зарплата!G20</f>
        <v>123.7</v>
      </c>
      <c r="F12" s="78">
        <v>1.5</v>
      </c>
      <c r="G12" s="78">
        <f t="shared" si="0"/>
        <v>185.55</v>
      </c>
    </row>
    <row r="13" spans="1:7" ht="21" customHeight="1">
      <c r="A13" s="8">
        <v>6</v>
      </c>
      <c r="B13" s="10" t="s">
        <v>315</v>
      </c>
      <c r="C13" s="8" t="s">
        <v>4</v>
      </c>
      <c r="D13" s="28"/>
      <c r="E13" s="211">
        <f>E8*0.302</f>
        <v>58.1048</v>
      </c>
      <c r="F13" s="78">
        <v>1.5</v>
      </c>
      <c r="G13" s="78">
        <f t="shared" si="0"/>
        <v>87.15719999999999</v>
      </c>
    </row>
    <row r="14" spans="1:7" ht="34.5" customHeight="1">
      <c r="A14" s="8">
        <v>7</v>
      </c>
      <c r="B14" s="217" t="s">
        <v>373</v>
      </c>
      <c r="C14" s="8" t="s">
        <v>4</v>
      </c>
      <c r="D14" s="28"/>
      <c r="E14" s="211">
        <f>E9*0.302</f>
        <v>110.41120000000001</v>
      </c>
      <c r="F14" s="78">
        <v>1.5</v>
      </c>
      <c r="G14" s="78">
        <f t="shared" si="0"/>
        <v>165.6168</v>
      </c>
    </row>
    <row r="15" spans="1:7" ht="20.25" customHeight="1">
      <c r="A15" s="8">
        <v>8</v>
      </c>
      <c r="B15" s="10" t="s">
        <v>316</v>
      </c>
      <c r="C15" s="8" t="s">
        <v>4</v>
      </c>
      <c r="D15" s="9" t="s">
        <v>15</v>
      </c>
      <c r="E15" s="211">
        <f>E10*0.302</f>
        <v>35.273599999999995</v>
      </c>
      <c r="F15" s="78">
        <v>2</v>
      </c>
      <c r="G15" s="78">
        <f t="shared" si="0"/>
        <v>70.54719999999999</v>
      </c>
    </row>
    <row r="16" spans="1:7" ht="30" customHeight="1">
      <c r="A16" s="8">
        <v>9</v>
      </c>
      <c r="B16" s="10" t="s">
        <v>374</v>
      </c>
      <c r="C16" s="8" t="s">
        <v>4</v>
      </c>
      <c r="D16" s="9" t="s">
        <v>7</v>
      </c>
      <c r="E16" s="211">
        <f>E11*0.302</f>
        <v>35.273599999999995</v>
      </c>
      <c r="F16" s="315">
        <v>1.5</v>
      </c>
      <c r="G16" s="78">
        <f t="shared" si="0"/>
        <v>52.910399999999996</v>
      </c>
    </row>
    <row r="17" spans="1:7" ht="21" customHeight="1">
      <c r="A17" s="8">
        <v>10</v>
      </c>
      <c r="B17" s="10" t="s">
        <v>314</v>
      </c>
      <c r="C17" s="8" t="s">
        <v>4</v>
      </c>
      <c r="D17" s="9" t="s">
        <v>6</v>
      </c>
      <c r="E17" s="211">
        <f>E12*0.302</f>
        <v>37.3574</v>
      </c>
      <c r="F17" s="78">
        <v>1.5</v>
      </c>
      <c r="G17" s="78">
        <f t="shared" si="0"/>
        <v>56.0361</v>
      </c>
    </row>
    <row r="18" spans="1:7" ht="19.5" customHeight="1">
      <c r="A18" s="8">
        <v>11</v>
      </c>
      <c r="B18" s="9" t="s">
        <v>74</v>
      </c>
      <c r="C18" s="8" t="s">
        <v>4</v>
      </c>
      <c r="D18" s="9" t="s">
        <v>22</v>
      </c>
      <c r="E18" s="81">
        <f>384.62+30.39</f>
        <v>415.01</v>
      </c>
      <c r="F18" s="9"/>
      <c r="G18" s="78">
        <f>E18</f>
        <v>415.01</v>
      </c>
    </row>
    <row r="19" spans="1:7" ht="22.5" customHeight="1">
      <c r="A19" s="8">
        <v>12</v>
      </c>
      <c r="B19" s="9" t="s">
        <v>262</v>
      </c>
      <c r="C19" s="8" t="s">
        <v>4</v>
      </c>
      <c r="D19" s="11">
        <v>0.4</v>
      </c>
      <c r="E19" s="316">
        <v>0.35</v>
      </c>
      <c r="F19" s="11"/>
      <c r="G19" s="78">
        <f>SUM(G8:G18)*E19</f>
        <v>797.519695</v>
      </c>
    </row>
    <row r="20" spans="1:7" ht="18.75" customHeight="1">
      <c r="A20" s="8">
        <v>13</v>
      </c>
      <c r="B20" s="9" t="s">
        <v>14</v>
      </c>
      <c r="C20" s="8" t="s">
        <v>4</v>
      </c>
      <c r="D20" s="11">
        <v>0.09</v>
      </c>
      <c r="E20" s="316">
        <v>0.12</v>
      </c>
      <c r="F20" s="11"/>
      <c r="G20" s="78">
        <f>SUM(G8:G19)*E20</f>
        <v>369.1376874</v>
      </c>
    </row>
    <row r="21" spans="1:7" ht="17.25" customHeight="1">
      <c r="A21" s="9"/>
      <c r="B21" s="12" t="s">
        <v>19</v>
      </c>
      <c r="C21" s="8" t="s">
        <v>4</v>
      </c>
      <c r="D21" s="9"/>
      <c r="E21" s="16"/>
      <c r="F21" s="9"/>
      <c r="G21" s="271">
        <f>SUM(G8:G20)</f>
        <v>3445.2850823999997</v>
      </c>
    </row>
    <row r="22" spans="1:7" ht="12.75" hidden="1">
      <c r="A22" s="9"/>
      <c r="B22" s="9" t="s">
        <v>11</v>
      </c>
      <c r="C22" s="8" t="s">
        <v>4</v>
      </c>
      <c r="D22" s="11">
        <v>0.18</v>
      </c>
      <c r="E22" s="11">
        <v>0.18</v>
      </c>
      <c r="F22" s="11"/>
      <c r="G22" s="16">
        <f>G21*0.18</f>
        <v>620.1513148319999</v>
      </c>
    </row>
    <row r="23" spans="1:7" ht="14.25" hidden="1">
      <c r="A23" s="9"/>
      <c r="B23" s="13" t="s">
        <v>20</v>
      </c>
      <c r="C23" s="8" t="s">
        <v>4</v>
      </c>
      <c r="D23" s="9"/>
      <c r="E23" s="16"/>
      <c r="F23" s="9"/>
      <c r="G23" s="16">
        <f>G21+G22</f>
        <v>4065.4363972319998</v>
      </c>
    </row>
    <row r="24" spans="7:9" ht="12.75">
      <c r="G24" t="s">
        <v>1</v>
      </c>
      <c r="I24" s="75"/>
    </row>
    <row r="25" spans="2:7" ht="14.25">
      <c r="B25" s="76"/>
      <c r="C25" s="76"/>
      <c r="D25" s="76"/>
      <c r="E25" s="76"/>
      <c r="F25" s="76"/>
      <c r="G25" s="76"/>
    </row>
  </sheetData>
  <sheetProtection/>
  <mergeCells count="4">
    <mergeCell ref="A4:G4"/>
    <mergeCell ref="A2:G2"/>
    <mergeCell ref="A3:G3"/>
    <mergeCell ref="A5:G5"/>
  </mergeCells>
  <printOptions horizontalCentered="1" verticalCentered="1"/>
  <pageMargins left="0.7874015748031497" right="0.984251968503937" top="0.7874015748031497" bottom="0.3937007874015748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4.875" style="0" customWidth="1"/>
    <col min="2" max="2" width="40.00390625" style="0" customWidth="1"/>
    <col min="3" max="3" width="9.25390625" style="0" customWidth="1"/>
    <col min="4" max="4" width="26.875" style="0" hidden="1" customWidth="1"/>
    <col min="5" max="5" width="20.125" style="0" customWidth="1"/>
    <col min="6" max="6" width="17.00390625" style="0" customWidth="1"/>
    <col min="7" max="7" width="20.25390625" style="0" customWidth="1"/>
    <col min="8" max="8" width="11.375" style="0" customWidth="1"/>
    <col min="9" max="9" width="3.25390625" style="0" customWidth="1"/>
    <col min="10" max="10" width="17.375" style="0" customWidth="1"/>
  </cols>
  <sheetData>
    <row r="1" spans="1:10" ht="15">
      <c r="A1" s="327" t="s">
        <v>2</v>
      </c>
      <c r="B1" s="327"/>
      <c r="C1" s="327"/>
      <c r="D1" s="327"/>
      <c r="E1" s="327"/>
      <c r="F1" s="327"/>
      <c r="G1" s="327"/>
      <c r="H1" s="4"/>
      <c r="I1" s="4"/>
      <c r="J1" s="4"/>
    </row>
    <row r="2" spans="1:10" ht="15">
      <c r="A2" s="327" t="s">
        <v>319</v>
      </c>
      <c r="B2" s="327"/>
      <c r="C2" s="327"/>
      <c r="D2" s="327"/>
      <c r="E2" s="327"/>
      <c r="F2" s="327"/>
      <c r="G2" s="327"/>
      <c r="H2" s="1"/>
      <c r="I2" s="1"/>
      <c r="J2" s="1"/>
    </row>
    <row r="3" spans="1:10" ht="15.75">
      <c r="A3" s="327" t="s">
        <v>351</v>
      </c>
      <c r="B3" s="327"/>
      <c r="C3" s="327"/>
      <c r="D3" s="327"/>
      <c r="E3" s="327"/>
      <c r="F3" s="327"/>
      <c r="G3" s="327"/>
      <c r="H3" s="2"/>
      <c r="I3" s="2"/>
      <c r="J3" s="2"/>
    </row>
    <row r="4" spans="1:10" ht="15.75">
      <c r="A4" s="327" t="s">
        <v>384</v>
      </c>
      <c r="B4" s="327"/>
      <c r="C4" s="327"/>
      <c r="D4" s="327"/>
      <c r="E4" s="327"/>
      <c r="F4" s="327"/>
      <c r="G4" s="327"/>
      <c r="H4" s="2"/>
      <c r="I4" s="2"/>
      <c r="J4" s="2"/>
    </row>
    <row r="6" spans="1:8" ht="39.75" customHeight="1">
      <c r="A6" s="14" t="s">
        <v>10</v>
      </c>
      <c r="B6" s="14" t="s">
        <v>8</v>
      </c>
      <c r="C6" s="14" t="s">
        <v>9</v>
      </c>
      <c r="D6" s="14" t="s">
        <v>5</v>
      </c>
      <c r="E6" s="15" t="s">
        <v>328</v>
      </c>
      <c r="F6" s="15" t="s">
        <v>324</v>
      </c>
      <c r="G6" s="15" t="s">
        <v>12</v>
      </c>
      <c r="H6" s="6"/>
    </row>
    <row r="7" spans="1:8" ht="21" customHeight="1">
      <c r="A7" s="8">
        <v>1</v>
      </c>
      <c r="B7" s="218" t="s">
        <v>321</v>
      </c>
      <c r="C7" s="8" t="s">
        <v>4</v>
      </c>
      <c r="D7" s="219"/>
      <c r="E7" s="220">
        <f>зарплата!G12</f>
        <v>434.9</v>
      </c>
      <c r="F7" s="221">
        <v>0.25</v>
      </c>
      <c r="G7" s="222">
        <f>E7*F7</f>
        <v>108.725</v>
      </c>
      <c r="H7" s="6"/>
    </row>
    <row r="8" spans="1:7" ht="20.25" customHeight="1">
      <c r="A8" s="8">
        <v>2</v>
      </c>
      <c r="B8" s="9" t="s">
        <v>376</v>
      </c>
      <c r="C8" s="8" t="s">
        <v>4</v>
      </c>
      <c r="D8" s="9" t="s">
        <v>17</v>
      </c>
      <c r="E8" s="78">
        <f>зарплата!G22</f>
        <v>187.3</v>
      </c>
      <c r="F8" s="9">
        <v>2.25</v>
      </c>
      <c r="G8" s="78">
        <f aca="true" t="shared" si="0" ref="G8:G18">E8*F8</f>
        <v>421.425</v>
      </c>
    </row>
    <row r="9" spans="1:7" ht="20.25" customHeight="1">
      <c r="A9" s="8">
        <v>3</v>
      </c>
      <c r="B9" s="9" t="s">
        <v>67</v>
      </c>
      <c r="C9" s="8" t="s">
        <v>4</v>
      </c>
      <c r="D9" s="9"/>
      <c r="E9" s="78">
        <f>зарплата!G18</f>
        <v>116.8</v>
      </c>
      <c r="F9" s="78">
        <v>1.5</v>
      </c>
      <c r="G9" s="78">
        <f t="shared" si="0"/>
        <v>175.2</v>
      </c>
    </row>
    <row r="10" spans="1:7" ht="18.75" customHeight="1">
      <c r="A10" s="8">
        <v>4</v>
      </c>
      <c r="B10" s="317" t="s">
        <v>16</v>
      </c>
      <c r="C10" s="318" t="s">
        <v>4</v>
      </c>
      <c r="D10" s="317" t="s">
        <v>26</v>
      </c>
      <c r="E10" s="319">
        <f>зарплата!G21</f>
        <v>131.1</v>
      </c>
      <c r="F10" s="320">
        <v>4</v>
      </c>
      <c r="G10" s="78">
        <f t="shared" si="0"/>
        <v>524.4</v>
      </c>
    </row>
    <row r="11" spans="1:7" ht="15.75" customHeight="1">
      <c r="A11" s="8">
        <v>5</v>
      </c>
      <c r="B11" s="317" t="s">
        <v>3</v>
      </c>
      <c r="C11" s="318" t="s">
        <v>4</v>
      </c>
      <c r="D11" s="321" t="s">
        <v>25</v>
      </c>
      <c r="E11" s="319">
        <f>зарплата!G20</f>
        <v>123.7</v>
      </c>
      <c r="F11" s="319">
        <v>2.75</v>
      </c>
      <c r="G11" s="78">
        <f t="shared" si="0"/>
        <v>340.175</v>
      </c>
    </row>
    <row r="12" spans="1:7" ht="18" customHeight="1">
      <c r="A12" s="8">
        <v>6</v>
      </c>
      <c r="B12" s="317" t="s">
        <v>310</v>
      </c>
      <c r="C12" s="318" t="s">
        <v>4</v>
      </c>
      <c r="D12" s="321"/>
      <c r="E12" s="319">
        <f>зарплата!G16</f>
        <v>149.6</v>
      </c>
      <c r="F12" s="319">
        <v>0.5</v>
      </c>
      <c r="G12" s="78">
        <f>E12*F12</f>
        <v>74.8</v>
      </c>
    </row>
    <row r="13" spans="1:7" ht="16.5" customHeight="1">
      <c r="A13" s="8">
        <v>7</v>
      </c>
      <c r="B13" s="317" t="s">
        <v>378</v>
      </c>
      <c r="C13" s="318" t="s">
        <v>4</v>
      </c>
      <c r="D13" s="321"/>
      <c r="E13" s="319">
        <f>зарплата!G17</f>
        <v>147.8</v>
      </c>
      <c r="F13" s="319">
        <v>0.25</v>
      </c>
      <c r="G13" s="78">
        <f>E13*F13</f>
        <v>36.95</v>
      </c>
    </row>
    <row r="14" spans="1:7" ht="18" customHeight="1">
      <c r="A14" s="8">
        <v>8</v>
      </c>
      <c r="B14" s="322" t="s">
        <v>352</v>
      </c>
      <c r="C14" s="318" t="s">
        <v>4</v>
      </c>
      <c r="D14" s="321"/>
      <c r="E14" s="319">
        <f aca="true" t="shared" si="1" ref="E14:E20">E7*0.302</f>
        <v>131.3398</v>
      </c>
      <c r="F14" s="319">
        <v>0.25</v>
      </c>
      <c r="G14" s="78">
        <f>E14*F14</f>
        <v>32.83495</v>
      </c>
    </row>
    <row r="15" spans="1:7" ht="18" customHeight="1">
      <c r="A15" s="8">
        <v>9</v>
      </c>
      <c r="B15" s="322" t="s">
        <v>377</v>
      </c>
      <c r="C15" s="318" t="s">
        <v>4</v>
      </c>
      <c r="D15" s="317" t="s">
        <v>15</v>
      </c>
      <c r="E15" s="319">
        <f t="shared" si="1"/>
        <v>56.5646</v>
      </c>
      <c r="F15" s="319">
        <v>2.25</v>
      </c>
      <c r="G15" s="78">
        <f t="shared" si="0"/>
        <v>127.27035</v>
      </c>
    </row>
    <row r="16" spans="1:7" ht="18" customHeight="1">
      <c r="A16" s="8">
        <v>10</v>
      </c>
      <c r="B16" s="322" t="s">
        <v>312</v>
      </c>
      <c r="C16" s="318" t="s">
        <v>4</v>
      </c>
      <c r="D16" s="317"/>
      <c r="E16" s="319">
        <f t="shared" si="1"/>
        <v>35.273599999999995</v>
      </c>
      <c r="F16" s="319">
        <v>1.5</v>
      </c>
      <c r="G16" s="78">
        <f t="shared" si="0"/>
        <v>52.910399999999996</v>
      </c>
    </row>
    <row r="17" spans="1:7" ht="18.75" customHeight="1">
      <c r="A17" s="8">
        <v>11</v>
      </c>
      <c r="B17" s="322" t="s">
        <v>353</v>
      </c>
      <c r="C17" s="318" t="s">
        <v>4</v>
      </c>
      <c r="D17" s="317" t="s">
        <v>7</v>
      </c>
      <c r="E17" s="319">
        <f t="shared" si="1"/>
        <v>39.5922</v>
      </c>
      <c r="F17" s="319">
        <v>4</v>
      </c>
      <c r="G17" s="78">
        <f t="shared" si="0"/>
        <v>158.3688</v>
      </c>
    </row>
    <row r="18" spans="1:7" ht="18.75" customHeight="1">
      <c r="A18" s="8">
        <v>12</v>
      </c>
      <c r="B18" s="322" t="s">
        <v>314</v>
      </c>
      <c r="C18" s="318" t="s">
        <v>4</v>
      </c>
      <c r="D18" s="317" t="s">
        <v>6</v>
      </c>
      <c r="E18" s="319">
        <f t="shared" si="1"/>
        <v>37.3574</v>
      </c>
      <c r="F18" s="319">
        <v>2.75</v>
      </c>
      <c r="G18" s="78">
        <f t="shared" si="0"/>
        <v>102.73285</v>
      </c>
    </row>
    <row r="19" spans="1:7" ht="18.75" customHeight="1">
      <c r="A19" s="8">
        <v>13</v>
      </c>
      <c r="B19" s="317" t="s">
        <v>317</v>
      </c>
      <c r="C19" s="318" t="s">
        <v>4</v>
      </c>
      <c r="D19" s="317"/>
      <c r="E19" s="319">
        <f t="shared" si="1"/>
        <v>45.179199999999994</v>
      </c>
      <c r="F19" s="319">
        <v>0.5</v>
      </c>
      <c r="G19" s="78">
        <f>E19*F19</f>
        <v>22.589599999999997</v>
      </c>
    </row>
    <row r="20" spans="1:7" ht="18.75" customHeight="1">
      <c r="A20" s="8">
        <v>14</v>
      </c>
      <c r="B20" s="317" t="s">
        <v>379</v>
      </c>
      <c r="C20" s="318" t="s">
        <v>4</v>
      </c>
      <c r="D20" s="317"/>
      <c r="E20" s="319">
        <f t="shared" si="1"/>
        <v>44.635600000000004</v>
      </c>
      <c r="F20" s="317">
        <v>0.25</v>
      </c>
      <c r="G20" s="78">
        <f>E20*F20</f>
        <v>11.158900000000001</v>
      </c>
    </row>
    <row r="21" spans="1:7" ht="17.25" customHeight="1">
      <c r="A21" s="8">
        <v>15</v>
      </c>
      <c r="B21" s="317" t="s">
        <v>74</v>
      </c>
      <c r="C21" s="318" t="s">
        <v>4</v>
      </c>
      <c r="D21" s="317" t="s">
        <v>23</v>
      </c>
      <c r="E21" s="320">
        <f>(665.28+30.39)</f>
        <v>695.67</v>
      </c>
      <c r="F21" s="319">
        <v>2</v>
      </c>
      <c r="G21" s="272">
        <f>E21*F21</f>
        <v>1391.34</v>
      </c>
    </row>
    <row r="22" spans="1:7" ht="18" customHeight="1">
      <c r="A22" s="8">
        <v>16</v>
      </c>
      <c r="B22" s="317" t="s">
        <v>262</v>
      </c>
      <c r="C22" s="318" t="s">
        <v>4</v>
      </c>
      <c r="D22" s="323">
        <v>0.4</v>
      </c>
      <c r="E22" s="324">
        <v>0.35</v>
      </c>
      <c r="F22" s="323"/>
      <c r="G22" s="272">
        <f>SUM(G7:G21)*E22</f>
        <v>1253.3082974999998</v>
      </c>
    </row>
    <row r="23" spans="1:7" ht="18.75" customHeight="1">
      <c r="A23" s="8">
        <v>17</v>
      </c>
      <c r="B23" s="317" t="s">
        <v>14</v>
      </c>
      <c r="C23" s="318" t="s">
        <v>4</v>
      </c>
      <c r="D23" s="323">
        <v>0.09</v>
      </c>
      <c r="E23" s="324">
        <v>0.12</v>
      </c>
      <c r="F23" s="323"/>
      <c r="G23" s="78">
        <f>SUM(G7:G22)*E23</f>
        <v>580.1026976999999</v>
      </c>
    </row>
    <row r="24" spans="1:7" ht="19.5" customHeight="1">
      <c r="A24" s="9"/>
      <c r="B24" s="12" t="s">
        <v>19</v>
      </c>
      <c r="C24" s="8" t="s">
        <v>4</v>
      </c>
      <c r="D24" s="9"/>
      <c r="E24" s="16"/>
      <c r="F24" s="9"/>
      <c r="G24" s="271">
        <f>SUM(G7:G23)</f>
        <v>5414.291845199999</v>
      </c>
    </row>
    <row r="25" spans="1:7" ht="12.75" hidden="1">
      <c r="A25" s="9"/>
      <c r="B25" s="9" t="s">
        <v>11</v>
      </c>
      <c r="C25" s="8" t="s">
        <v>4</v>
      </c>
      <c r="D25" s="11">
        <v>0.18</v>
      </c>
      <c r="E25" s="11">
        <v>0.18</v>
      </c>
      <c r="F25" s="11"/>
      <c r="G25" s="16">
        <f>G24*0.18</f>
        <v>974.5725321359998</v>
      </c>
    </row>
    <row r="26" spans="1:7" ht="3" customHeight="1" hidden="1">
      <c r="A26" s="9"/>
      <c r="B26" s="13" t="s">
        <v>20</v>
      </c>
      <c r="C26" s="8" t="s">
        <v>4</v>
      </c>
      <c r="D26" s="9"/>
      <c r="E26" s="16"/>
      <c r="F26" s="9"/>
      <c r="G26" s="16">
        <f>G24+G25</f>
        <v>6388.864377335999</v>
      </c>
    </row>
    <row r="27" spans="1:7" ht="14.25">
      <c r="A27" s="66"/>
      <c r="B27" s="223"/>
      <c r="C27" s="224"/>
      <c r="D27" s="66"/>
      <c r="E27" s="225"/>
      <c r="F27" s="66"/>
      <c r="G27" s="225"/>
    </row>
  </sheetData>
  <sheetProtection/>
  <mergeCells count="4">
    <mergeCell ref="A1:G1"/>
    <mergeCell ref="A2:G2"/>
    <mergeCell ref="A3:G3"/>
    <mergeCell ref="A4:G4"/>
  </mergeCells>
  <printOptions horizontalCentered="1"/>
  <pageMargins left="0.7874015748031497" right="0.7874015748031497" top="0.7874015748031497" bottom="0" header="0.5118110236220472" footer="0.511811023622047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.125" style="0" customWidth="1"/>
    <col min="2" max="2" width="36.375" style="0" customWidth="1"/>
    <col min="3" max="3" width="9.875" style="0" customWidth="1"/>
    <col min="4" max="4" width="13.00390625" style="0" customWidth="1"/>
    <col min="6" max="6" width="4.875" style="0" customWidth="1"/>
    <col min="7" max="7" width="51.875" style="0" customWidth="1"/>
    <col min="8" max="8" width="11.125" style="0" customWidth="1"/>
    <col min="9" max="9" width="12.625" style="0" customWidth="1"/>
  </cols>
  <sheetData>
    <row r="1" spans="1:9" ht="15.75">
      <c r="A1" s="328" t="s">
        <v>75</v>
      </c>
      <c r="B1" s="328"/>
      <c r="C1" s="328"/>
      <c r="D1" s="328"/>
      <c r="E1" s="82"/>
      <c r="F1" s="328" t="s">
        <v>76</v>
      </c>
      <c r="G1" s="328"/>
      <c r="H1" s="328"/>
      <c r="I1" s="328"/>
    </row>
    <row r="2" spans="1:9" ht="15.75">
      <c r="A2" s="328" t="s">
        <v>361</v>
      </c>
      <c r="B2" s="328"/>
      <c r="C2" s="328"/>
      <c r="D2" s="328"/>
      <c r="E2" s="82"/>
      <c r="F2" s="328" t="s">
        <v>77</v>
      </c>
      <c r="G2" s="328"/>
      <c r="H2" s="328"/>
      <c r="I2" s="328"/>
    </row>
    <row r="3" spans="1:9" ht="15.75">
      <c r="A3" s="328" t="s">
        <v>356</v>
      </c>
      <c r="B3" s="328"/>
      <c r="C3" s="328"/>
      <c r="D3" s="328"/>
      <c r="E3" s="82"/>
      <c r="F3" s="328" t="s">
        <v>386</v>
      </c>
      <c r="G3" s="328"/>
      <c r="H3" s="328"/>
      <c r="I3" s="328"/>
    </row>
    <row r="4" spans="1:9" ht="15">
      <c r="A4" s="82"/>
      <c r="B4" s="82"/>
      <c r="C4" s="82"/>
      <c r="D4" s="83" t="s">
        <v>78</v>
      </c>
      <c r="E4" s="82"/>
      <c r="F4" s="82"/>
      <c r="G4" s="82"/>
      <c r="H4" s="82"/>
      <c r="I4" s="83" t="s">
        <v>79</v>
      </c>
    </row>
    <row r="5" spans="1:9" ht="15">
      <c r="A5" s="84" t="s">
        <v>80</v>
      </c>
      <c r="B5" s="84" t="s">
        <v>81</v>
      </c>
      <c r="C5" s="84" t="s">
        <v>9</v>
      </c>
      <c r="D5" s="84" t="s">
        <v>82</v>
      </c>
      <c r="E5" s="82"/>
      <c r="F5" s="84" t="s">
        <v>80</v>
      </c>
      <c r="G5" s="84" t="s">
        <v>81</v>
      </c>
      <c r="H5" s="84" t="s">
        <v>9</v>
      </c>
      <c r="I5" s="84" t="s">
        <v>82</v>
      </c>
    </row>
    <row r="6" spans="1:9" ht="15">
      <c r="A6" s="84">
        <v>1</v>
      </c>
      <c r="B6" s="84">
        <v>2</v>
      </c>
      <c r="C6" s="84">
        <v>3</v>
      </c>
      <c r="D6" s="84">
        <v>4</v>
      </c>
      <c r="E6" s="82"/>
      <c r="F6" s="84">
        <v>1</v>
      </c>
      <c r="G6" s="84">
        <v>2</v>
      </c>
      <c r="H6" s="84">
        <v>3</v>
      </c>
      <c r="I6" s="84">
        <v>4</v>
      </c>
    </row>
    <row r="7" spans="1:9" ht="15">
      <c r="A7" s="85">
        <v>1</v>
      </c>
      <c r="B7" s="85" t="s">
        <v>83</v>
      </c>
      <c r="C7" s="85" t="s">
        <v>84</v>
      </c>
      <c r="D7" s="86">
        <f>'табл 5-6'!D29+'табл 5-6'!D16</f>
        <v>98</v>
      </c>
      <c r="E7" s="82"/>
      <c r="F7" s="85">
        <v>1</v>
      </c>
      <c r="G7" s="85" t="s">
        <v>85</v>
      </c>
      <c r="H7" s="85" t="s">
        <v>84</v>
      </c>
      <c r="I7" s="86">
        <f>'табл 5-6'!D28+'табл 5-6'!D16</f>
        <v>98</v>
      </c>
    </row>
    <row r="8" spans="1:9" ht="15">
      <c r="A8" s="87">
        <v>2</v>
      </c>
      <c r="B8" s="87" t="s">
        <v>86</v>
      </c>
      <c r="C8" s="87" t="s">
        <v>4</v>
      </c>
      <c r="D8" s="273">
        <f>'выдача техусл'!G19</f>
        <v>3401.8532997120005</v>
      </c>
      <c r="E8" s="82"/>
      <c r="F8" s="87">
        <v>2</v>
      </c>
      <c r="G8" s="87" t="s">
        <v>87</v>
      </c>
      <c r="H8" s="87"/>
      <c r="I8" s="273">
        <f>'проверка выполнения техусловий'!G21</f>
        <v>3445.2850823999997</v>
      </c>
    </row>
    <row r="9" spans="1:9" ht="15">
      <c r="A9" s="89"/>
      <c r="B9" s="89"/>
      <c r="C9" s="89"/>
      <c r="D9" s="90"/>
      <c r="E9" s="82"/>
      <c r="F9" s="89"/>
      <c r="G9" s="89" t="s">
        <v>88</v>
      </c>
      <c r="H9" s="89" t="s">
        <v>4</v>
      </c>
      <c r="I9" s="90"/>
    </row>
    <row r="10" spans="1:9" ht="15">
      <c r="A10" s="91">
        <v>3</v>
      </c>
      <c r="B10" s="92" t="s">
        <v>89</v>
      </c>
      <c r="C10" s="91"/>
      <c r="D10" s="274">
        <f>D7*D8</f>
        <v>333381.6233717761</v>
      </c>
      <c r="E10" s="82"/>
      <c r="F10" s="91">
        <v>3</v>
      </c>
      <c r="G10" s="92" t="s">
        <v>89</v>
      </c>
      <c r="H10" s="91"/>
      <c r="I10" s="274">
        <f>I7*I8</f>
        <v>337637.93807519996</v>
      </c>
    </row>
    <row r="11" spans="1:9" ht="15">
      <c r="A11" s="93"/>
      <c r="B11" s="94" t="s">
        <v>90</v>
      </c>
      <c r="C11" s="95" t="s">
        <v>4</v>
      </c>
      <c r="D11" s="96"/>
      <c r="E11" s="82"/>
      <c r="F11" s="93"/>
      <c r="G11" s="94" t="s">
        <v>91</v>
      </c>
      <c r="H11" s="95" t="s">
        <v>4</v>
      </c>
      <c r="I11" s="96"/>
    </row>
    <row r="12" spans="1:9" ht="15">
      <c r="A12" s="82"/>
      <c r="B12" s="82"/>
      <c r="C12" s="82"/>
      <c r="D12" s="82"/>
      <c r="E12" s="82"/>
      <c r="F12" s="82"/>
      <c r="G12" s="82"/>
      <c r="H12" s="82"/>
      <c r="I12" s="82"/>
    </row>
    <row r="13" spans="1:9" ht="15">
      <c r="A13" s="82"/>
      <c r="B13" s="82"/>
      <c r="C13" s="82"/>
      <c r="D13" s="82"/>
      <c r="E13" s="82"/>
      <c r="F13" s="82"/>
      <c r="G13" s="82"/>
      <c r="H13" s="82"/>
      <c r="I13" s="82"/>
    </row>
    <row r="14" spans="1:12" ht="15.75">
      <c r="A14" s="328" t="s">
        <v>92</v>
      </c>
      <c r="B14" s="328"/>
      <c r="C14" s="328"/>
      <c r="D14" s="328"/>
      <c r="E14" s="82"/>
      <c r="F14" s="329"/>
      <c r="G14" s="329"/>
      <c r="H14" s="329"/>
      <c r="I14" s="329"/>
      <c r="J14" s="329"/>
      <c r="K14" s="329"/>
      <c r="L14" s="329"/>
    </row>
    <row r="15" spans="1:12" ht="15.75">
      <c r="A15" s="328" t="s">
        <v>93</v>
      </c>
      <c r="B15" s="328"/>
      <c r="C15" s="328"/>
      <c r="D15" s="328"/>
      <c r="E15" s="82"/>
      <c r="F15" s="330"/>
      <c r="G15" s="330"/>
      <c r="H15" s="330"/>
      <c r="I15" s="330"/>
      <c r="J15" s="330"/>
      <c r="K15" s="330"/>
      <c r="L15" s="330"/>
    </row>
    <row r="16" spans="1:12" ht="15.75">
      <c r="A16" s="328" t="s">
        <v>385</v>
      </c>
      <c r="B16" s="331"/>
      <c r="C16" s="331"/>
      <c r="D16" s="331"/>
      <c r="E16" s="82"/>
      <c r="F16" s="301"/>
      <c r="G16" s="301"/>
      <c r="H16" s="301"/>
      <c r="I16" s="301"/>
      <c r="J16" s="301"/>
      <c r="K16" s="301"/>
      <c r="L16" s="301"/>
    </row>
    <row r="17" spans="1:9" ht="15.75">
      <c r="A17" s="328" t="s">
        <v>356</v>
      </c>
      <c r="B17" s="328"/>
      <c r="C17" s="328"/>
      <c r="D17" s="328"/>
      <c r="E17" s="82"/>
      <c r="F17" s="97"/>
      <c r="G17" s="97"/>
      <c r="H17" s="97"/>
      <c r="I17" s="97"/>
    </row>
    <row r="18" spans="1:9" ht="15">
      <c r="A18" s="82"/>
      <c r="B18" s="82"/>
      <c r="C18" s="82"/>
      <c r="D18" s="83" t="s">
        <v>94</v>
      </c>
      <c r="E18" s="82"/>
      <c r="F18" s="82"/>
      <c r="G18" s="82"/>
      <c r="H18" s="82"/>
      <c r="I18" s="242"/>
    </row>
    <row r="19" spans="1:9" ht="15">
      <c r="A19" s="84" t="s">
        <v>80</v>
      </c>
      <c r="B19" s="84" t="s">
        <v>81</v>
      </c>
      <c r="C19" s="84" t="s">
        <v>9</v>
      </c>
      <c r="D19" s="84" t="s">
        <v>82</v>
      </c>
      <c r="E19" s="82"/>
      <c r="F19" s="92"/>
      <c r="G19" s="92"/>
      <c r="H19" s="92"/>
      <c r="I19" s="92"/>
    </row>
    <row r="20" spans="1:9" ht="15">
      <c r="A20" s="85">
        <v>1</v>
      </c>
      <c r="B20" s="85">
        <v>2</v>
      </c>
      <c r="C20" s="85">
        <v>3</v>
      </c>
      <c r="D20" s="85">
        <v>4</v>
      </c>
      <c r="E20" s="82"/>
      <c r="F20" s="92"/>
      <c r="G20" s="92"/>
      <c r="H20" s="92"/>
      <c r="I20" s="92"/>
    </row>
    <row r="21" spans="1:9" ht="15">
      <c r="A21" s="87">
        <v>1</v>
      </c>
      <c r="B21" s="87" t="s">
        <v>95</v>
      </c>
      <c r="C21" s="87"/>
      <c r="D21" s="86">
        <f>'табл 5-6'!D28+'табл 5-6'!D16</f>
        <v>98</v>
      </c>
      <c r="E21" s="82"/>
      <c r="F21" s="92"/>
      <c r="G21" s="92"/>
      <c r="H21" s="92"/>
      <c r="I21" s="276"/>
    </row>
    <row r="22" spans="1:9" ht="15">
      <c r="A22" s="98"/>
      <c r="B22" s="98" t="s">
        <v>96</v>
      </c>
      <c r="C22" s="98" t="s">
        <v>84</v>
      </c>
      <c r="D22" s="91"/>
      <c r="E22" s="82"/>
      <c r="F22" s="92"/>
      <c r="G22" s="92"/>
      <c r="H22" s="92"/>
      <c r="I22" s="92"/>
    </row>
    <row r="23" spans="1:9" ht="15">
      <c r="A23" s="87">
        <v>2</v>
      </c>
      <c r="B23" s="87" t="s">
        <v>97</v>
      </c>
      <c r="C23" s="87"/>
      <c r="D23" s="273">
        <f>'фактич.действия'!G24</f>
        <v>5414.291845199999</v>
      </c>
      <c r="E23" s="82"/>
      <c r="F23" s="92"/>
      <c r="G23" s="92"/>
      <c r="H23" s="92"/>
      <c r="I23" s="277"/>
    </row>
    <row r="24" spans="1:9" ht="15">
      <c r="A24" s="98"/>
      <c r="B24" s="98" t="s">
        <v>98</v>
      </c>
      <c r="C24" s="98" t="s">
        <v>4</v>
      </c>
      <c r="D24" s="99"/>
      <c r="E24" s="82"/>
      <c r="F24" s="92"/>
      <c r="G24" s="92"/>
      <c r="H24" s="92"/>
      <c r="I24" s="277"/>
    </row>
    <row r="25" spans="1:9" ht="15">
      <c r="A25" s="98"/>
      <c r="B25" s="98" t="s">
        <v>99</v>
      </c>
      <c r="C25" s="98"/>
      <c r="D25" s="99"/>
      <c r="E25" s="82"/>
      <c r="F25" s="92"/>
      <c r="G25" s="92"/>
      <c r="H25" s="92"/>
      <c r="I25" s="277"/>
    </row>
    <row r="26" spans="1:9" ht="15">
      <c r="A26" s="87">
        <v>3</v>
      </c>
      <c r="B26" s="87" t="s">
        <v>89</v>
      </c>
      <c r="C26" s="87"/>
      <c r="D26" s="88"/>
      <c r="E26" s="82"/>
      <c r="F26" s="92"/>
      <c r="G26" s="92"/>
      <c r="H26" s="92"/>
      <c r="I26" s="277"/>
    </row>
    <row r="27" spans="1:9" ht="15">
      <c r="A27" s="100"/>
      <c r="B27" s="98" t="s">
        <v>100</v>
      </c>
      <c r="C27" s="98" t="s">
        <v>4</v>
      </c>
      <c r="D27" s="275">
        <f>D21*D23</f>
        <v>530600.6008295999</v>
      </c>
      <c r="E27" s="82"/>
      <c r="F27" s="97"/>
      <c r="G27" s="92"/>
      <c r="H27" s="92"/>
      <c r="I27" s="277"/>
    </row>
    <row r="28" spans="1:9" ht="15">
      <c r="A28" s="101"/>
      <c r="B28" s="89" t="s">
        <v>101</v>
      </c>
      <c r="C28" s="101"/>
      <c r="D28" s="102"/>
      <c r="E28" s="82"/>
      <c r="F28" s="97"/>
      <c r="G28" s="92"/>
      <c r="H28" s="97"/>
      <c r="I28" s="278"/>
    </row>
    <row r="29" spans="1:9" ht="15">
      <c r="A29" s="82"/>
      <c r="B29" s="82"/>
      <c r="C29" s="82"/>
      <c r="D29" s="82"/>
      <c r="E29" s="82"/>
      <c r="F29" s="82"/>
      <c r="G29" s="82"/>
      <c r="H29" s="82"/>
      <c r="I29" s="82"/>
    </row>
    <row r="30" spans="1:9" ht="15">
      <c r="A30" s="82"/>
      <c r="B30" s="82"/>
      <c r="C30" s="82"/>
      <c r="D30" s="82"/>
      <c r="E30" s="82"/>
      <c r="F30" s="82"/>
      <c r="G30" s="82" t="s">
        <v>102</v>
      </c>
      <c r="H30" s="82"/>
      <c r="I30" s="82"/>
    </row>
    <row r="31" spans="1:9" ht="15">
      <c r="A31" s="82"/>
      <c r="B31" s="82"/>
      <c r="C31" s="82"/>
      <c r="D31" s="82"/>
      <c r="E31" s="82"/>
      <c r="F31" s="82"/>
      <c r="G31" s="82"/>
      <c r="H31" s="82"/>
      <c r="I31" s="82"/>
    </row>
  </sheetData>
  <sheetProtection/>
  <mergeCells count="11">
    <mergeCell ref="A16:D16"/>
    <mergeCell ref="A3:D3"/>
    <mergeCell ref="F3:I3"/>
    <mergeCell ref="A17:D17"/>
    <mergeCell ref="A1:D1"/>
    <mergeCell ref="F1:I1"/>
    <mergeCell ref="A2:D2"/>
    <mergeCell ref="F2:I2"/>
    <mergeCell ref="A14:D14"/>
    <mergeCell ref="A15:D15"/>
    <mergeCell ref="F14:L15"/>
  </mergeCells>
  <printOptions/>
  <pageMargins left="0.7086614173228347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32" sqref="G32"/>
    </sheetView>
  </sheetViews>
  <sheetFormatPr defaultColWidth="9.00390625" defaultRowHeight="12.75"/>
  <cols>
    <col min="1" max="1" width="7.125" style="0" customWidth="1"/>
    <col min="2" max="2" width="27.75390625" style="0" customWidth="1"/>
    <col min="3" max="3" width="15.25390625" style="0" customWidth="1"/>
    <col min="4" max="4" width="14.25390625" style="0" customWidth="1"/>
    <col min="5" max="5" width="13.125" style="0" customWidth="1"/>
    <col min="6" max="6" width="13.625" style="0" customWidth="1"/>
    <col min="7" max="7" width="12.875" style="0" customWidth="1"/>
    <col min="8" max="8" width="12.00390625" style="0" customWidth="1"/>
    <col min="9" max="9" width="12.25390625" style="0" customWidth="1"/>
  </cols>
  <sheetData>
    <row r="1" spans="1:9" ht="15.75">
      <c r="A1" s="332" t="s">
        <v>103</v>
      </c>
      <c r="B1" s="332"/>
      <c r="C1" s="332"/>
      <c r="D1" s="332"/>
      <c r="E1" s="332"/>
      <c r="F1" s="332"/>
      <c r="G1" s="332"/>
      <c r="H1" s="332"/>
      <c r="I1" s="332"/>
    </row>
    <row r="2" spans="1:9" ht="15.75">
      <c r="A2" s="332" t="s">
        <v>362</v>
      </c>
      <c r="B2" s="332"/>
      <c r="C2" s="332"/>
      <c r="D2" s="332"/>
      <c r="E2" s="332"/>
      <c r="F2" s="332"/>
      <c r="G2" s="332"/>
      <c r="H2" s="332"/>
      <c r="I2" s="332"/>
    </row>
    <row r="3" spans="1:9" ht="15">
      <c r="A3" s="82"/>
      <c r="B3" s="82"/>
      <c r="C3" s="82"/>
      <c r="D3" s="82"/>
      <c r="E3" s="82"/>
      <c r="F3" s="82"/>
      <c r="G3" s="82"/>
      <c r="H3" s="82"/>
      <c r="I3" s="83" t="s">
        <v>104</v>
      </c>
    </row>
    <row r="4" spans="1:9" ht="15">
      <c r="A4" s="103"/>
      <c r="B4" s="103"/>
      <c r="C4" s="103"/>
      <c r="D4" s="85" t="s">
        <v>105</v>
      </c>
      <c r="E4" s="85" t="s">
        <v>106</v>
      </c>
      <c r="F4" s="85" t="s">
        <v>107</v>
      </c>
      <c r="G4" s="85" t="s">
        <v>106</v>
      </c>
      <c r="H4" s="85" t="s">
        <v>107</v>
      </c>
      <c r="I4" s="103" t="s">
        <v>108</v>
      </c>
    </row>
    <row r="5" spans="1:9" ht="15">
      <c r="A5" s="104" t="s">
        <v>80</v>
      </c>
      <c r="B5" s="91" t="s">
        <v>109</v>
      </c>
      <c r="C5" s="104" t="s">
        <v>110</v>
      </c>
      <c r="D5" s="93"/>
      <c r="E5" s="95" t="s">
        <v>111</v>
      </c>
      <c r="F5" s="95" t="s">
        <v>112</v>
      </c>
      <c r="G5" s="95" t="s">
        <v>111</v>
      </c>
      <c r="H5" s="95" t="s">
        <v>112</v>
      </c>
      <c r="I5" s="93" t="s">
        <v>112</v>
      </c>
    </row>
    <row r="6" spans="1:9" ht="15">
      <c r="A6" s="104"/>
      <c r="B6" s="104"/>
      <c r="C6" s="104" t="s">
        <v>113</v>
      </c>
      <c r="D6" s="105"/>
      <c r="E6" s="106"/>
      <c r="F6" s="106"/>
      <c r="G6" s="106"/>
      <c r="H6" s="106"/>
      <c r="I6" s="107"/>
    </row>
    <row r="7" spans="1:9" ht="15">
      <c r="A7" s="93"/>
      <c r="B7" s="93"/>
      <c r="C7" s="93"/>
      <c r="D7" s="84" t="s">
        <v>114</v>
      </c>
      <c r="E7" s="84" t="s">
        <v>114</v>
      </c>
      <c r="F7" s="84" t="s">
        <v>114</v>
      </c>
      <c r="G7" s="84" t="s">
        <v>115</v>
      </c>
      <c r="H7" s="84" t="s">
        <v>115</v>
      </c>
      <c r="I7" s="84" t="s">
        <v>115</v>
      </c>
    </row>
    <row r="8" spans="1:9" ht="15">
      <c r="A8" s="84">
        <v>1</v>
      </c>
      <c r="B8" s="84">
        <v>2</v>
      </c>
      <c r="C8" s="84">
        <v>3</v>
      </c>
      <c r="D8" s="84">
        <v>4</v>
      </c>
      <c r="E8" s="84">
        <v>6</v>
      </c>
      <c r="F8" s="84">
        <v>7</v>
      </c>
      <c r="G8" s="84">
        <v>9</v>
      </c>
      <c r="H8" s="84">
        <v>10</v>
      </c>
      <c r="I8" s="84">
        <v>11</v>
      </c>
    </row>
    <row r="9" spans="1:9" ht="15">
      <c r="A9" s="84">
        <v>1</v>
      </c>
      <c r="B9" s="108" t="s">
        <v>116</v>
      </c>
      <c r="C9" s="279">
        <f>SUM(D9:I9)</f>
        <v>333381.6233717761</v>
      </c>
      <c r="D9" s="279">
        <f>'выдача техусл'!G19*'табл 5-6'!D28</f>
        <v>289157.53047552006</v>
      </c>
      <c r="E9" s="279">
        <f>'выдача техусл'!G19*'табл 5-6'!D11</f>
        <v>27214.826397696004</v>
      </c>
      <c r="F9" s="273">
        <f>'выдача техусл'!G19*'табл 5-6'!D12</f>
        <v>3401.8532997120005</v>
      </c>
      <c r="G9" s="279">
        <f>'выдача техусл'!G19*'табл 5-6'!D13</f>
        <v>13607.413198848002</v>
      </c>
      <c r="H9" s="279">
        <f>'выдача техусл'!G19*'табл 5-6'!D14</f>
        <v>0</v>
      </c>
      <c r="I9" s="109">
        <v>0</v>
      </c>
    </row>
    <row r="10" spans="1:9" ht="15">
      <c r="A10" s="85">
        <v>2</v>
      </c>
      <c r="B10" s="103" t="s">
        <v>117</v>
      </c>
      <c r="C10" s="273"/>
      <c r="D10" s="273"/>
      <c r="E10" s="280"/>
      <c r="F10" s="273"/>
      <c r="G10" s="273"/>
      <c r="H10" s="273"/>
      <c r="I10" s="110">
        <v>0</v>
      </c>
    </row>
    <row r="11" spans="1:9" ht="15">
      <c r="A11" s="95"/>
      <c r="B11" s="101" t="s">
        <v>118</v>
      </c>
      <c r="C11" s="281">
        <f>SUM(D11:I11)</f>
        <v>337637.9380752</v>
      </c>
      <c r="D11" s="281">
        <f>'проверка выполнения техусловий'!G21*'табл 5-6'!D28</f>
        <v>292849.232004</v>
      </c>
      <c r="E11" s="282">
        <f>'проверка выполнения техусловий'!G21*'табл 5-6'!D11</f>
        <v>27562.280659199998</v>
      </c>
      <c r="F11" s="281">
        <f>'проверка выполнения техусловий'!G21*'табл 5-6'!D12</f>
        <v>3445.2850823999997</v>
      </c>
      <c r="G11" s="281">
        <f>'проверка выполнения техусловий'!G21*'табл 5-6'!D13</f>
        <v>13781.140329599999</v>
      </c>
      <c r="H11" s="281">
        <f>'проверка выполнения техусловий'!G21*'табл 5-6'!D14</f>
        <v>0</v>
      </c>
      <c r="I11" s="102">
        <v>0</v>
      </c>
    </row>
    <row r="12" spans="1:9" ht="15">
      <c r="A12" s="85">
        <v>3</v>
      </c>
      <c r="B12" s="103" t="s">
        <v>119</v>
      </c>
      <c r="C12" s="273"/>
      <c r="D12" s="273"/>
      <c r="E12" s="273"/>
      <c r="F12" s="273"/>
      <c r="G12" s="273"/>
      <c r="H12" s="273"/>
      <c r="I12" s="110">
        <v>0</v>
      </c>
    </row>
    <row r="13" spans="1:9" ht="15">
      <c r="A13" s="95"/>
      <c r="B13" s="93" t="s">
        <v>101</v>
      </c>
      <c r="C13" s="281">
        <f>SUM(D13:I13)</f>
        <v>530600.6008295999</v>
      </c>
      <c r="D13" s="281">
        <f>'фактич.действия'!G24*'табл 5-6'!D28</f>
        <v>460214.80684199993</v>
      </c>
      <c r="E13" s="281">
        <f>'фактич.действия'!G24*'табл 5-6'!D11</f>
        <v>43314.334761599996</v>
      </c>
      <c r="F13" s="281">
        <f>'фактич.действия'!G24*'табл 5-6'!D12</f>
        <v>5414.291845199999</v>
      </c>
      <c r="G13" s="281">
        <f>'фактич.действия'!G24*'табл 5-6'!D13</f>
        <v>21657.167380799998</v>
      </c>
      <c r="H13" s="281">
        <f>'фактич.действия'!G24*'табл 5-6'!D14</f>
        <v>0</v>
      </c>
      <c r="I13" s="102">
        <v>0</v>
      </c>
    </row>
    <row r="14" spans="1:9" ht="15">
      <c r="A14" s="84">
        <v>4</v>
      </c>
      <c r="B14" s="108" t="s">
        <v>120</v>
      </c>
      <c r="C14" s="281">
        <f>SUM(D14:I14)</f>
        <v>1201620.162276576</v>
      </c>
      <c r="D14" s="279">
        <f>D9+D11+D13</f>
        <v>1042221.5693215199</v>
      </c>
      <c r="E14" s="279">
        <f>E9+E11+E13</f>
        <v>98091.441818496</v>
      </c>
      <c r="F14" s="279">
        <f>F9+F11+F13</f>
        <v>12261.430227312</v>
      </c>
      <c r="G14" s="279">
        <f>G9+G11+G13</f>
        <v>49045.720909248</v>
      </c>
      <c r="H14" s="279">
        <f>H9+H11+H13</f>
        <v>0</v>
      </c>
      <c r="I14" s="109">
        <v>0</v>
      </c>
    </row>
    <row r="15" spans="1:9" ht="15">
      <c r="A15" s="111"/>
      <c r="B15" s="82"/>
      <c r="C15" s="82"/>
      <c r="D15" s="82"/>
      <c r="E15" s="82"/>
      <c r="F15" s="82"/>
      <c r="G15" s="82"/>
      <c r="H15" s="82"/>
      <c r="I15" s="82"/>
    </row>
    <row r="16" spans="1:9" ht="15">
      <c r="A16" s="111"/>
      <c r="B16" s="82"/>
      <c r="C16" s="82"/>
      <c r="D16" s="82"/>
      <c r="E16" s="82"/>
      <c r="F16" s="82"/>
      <c r="G16" s="82"/>
      <c r="H16" s="82"/>
      <c r="I16" s="82"/>
    </row>
  </sheetData>
  <sheetProtection/>
  <mergeCells count="2">
    <mergeCell ref="A2:I2"/>
    <mergeCell ref="A1:I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31" sqref="A31:IV33"/>
    </sheetView>
  </sheetViews>
  <sheetFormatPr defaultColWidth="9.00390625" defaultRowHeight="12.75"/>
  <cols>
    <col min="2" max="2" width="14.625" style="0" customWidth="1"/>
    <col min="4" max="4" width="13.125" style="0" customWidth="1"/>
    <col min="5" max="5" width="12.75390625" style="0" customWidth="1"/>
    <col min="6" max="6" width="11.625" style="0" customWidth="1"/>
    <col min="7" max="7" width="11.875" style="0" customWidth="1"/>
    <col min="8" max="8" width="12.125" style="0" customWidth="1"/>
    <col min="9" max="9" width="11.625" style="0" customWidth="1"/>
    <col min="10" max="10" width="14.75390625" style="0" customWidth="1"/>
    <col min="11" max="11" width="12.25390625" style="0" customWidth="1"/>
    <col min="12" max="12" width="13.625" style="0" hidden="1" customWidth="1"/>
  </cols>
  <sheetData>
    <row r="1" spans="1:12" ht="15.75">
      <c r="A1" s="328" t="s">
        <v>357</v>
      </c>
      <c r="B1" s="328"/>
      <c r="C1" s="328"/>
      <c r="D1" s="328"/>
      <c r="E1" s="328"/>
      <c r="F1" s="328"/>
      <c r="G1" s="328"/>
      <c r="H1" s="328"/>
      <c r="I1" s="328"/>
      <c r="J1" s="328"/>
      <c r="K1" s="82"/>
      <c r="L1" s="112"/>
    </row>
    <row r="2" spans="1:12" ht="15.75">
      <c r="A2" s="328" t="s">
        <v>361</v>
      </c>
      <c r="B2" s="328"/>
      <c r="C2" s="328"/>
      <c r="D2" s="328"/>
      <c r="E2" s="328"/>
      <c r="F2" s="328"/>
      <c r="G2" s="328"/>
      <c r="H2" s="328"/>
      <c r="I2" s="328"/>
      <c r="J2" s="328"/>
      <c r="K2" s="82"/>
      <c r="L2" s="112"/>
    </row>
    <row r="3" spans="1:12" ht="15">
      <c r="A3" s="82"/>
      <c r="B3" s="82"/>
      <c r="C3" s="82"/>
      <c r="D3" s="82"/>
      <c r="E3" s="82"/>
      <c r="F3" s="82"/>
      <c r="G3" s="82"/>
      <c r="H3" s="82"/>
      <c r="I3" s="82"/>
      <c r="J3" s="83" t="s">
        <v>121</v>
      </c>
      <c r="K3" s="82"/>
      <c r="L3" s="112"/>
    </row>
    <row r="4" spans="1:12" ht="12.75">
      <c r="A4" s="113" t="s">
        <v>80</v>
      </c>
      <c r="B4" s="113" t="s">
        <v>122</v>
      </c>
      <c r="C4" s="113" t="s">
        <v>123</v>
      </c>
      <c r="D4" s="113" t="s">
        <v>124</v>
      </c>
      <c r="E4" s="113" t="s">
        <v>125</v>
      </c>
      <c r="F4" s="333" t="s">
        <v>126</v>
      </c>
      <c r="G4" s="334"/>
      <c r="H4" s="334"/>
      <c r="I4" s="113" t="s">
        <v>127</v>
      </c>
      <c r="J4" s="115" t="s">
        <v>128</v>
      </c>
      <c r="K4" s="116"/>
      <c r="L4" s="117"/>
    </row>
    <row r="5" spans="1:12" ht="12.75">
      <c r="A5" s="118"/>
      <c r="B5" s="118" t="s">
        <v>129</v>
      </c>
      <c r="C5" s="118" t="s">
        <v>130</v>
      </c>
      <c r="D5" s="118" t="s">
        <v>131</v>
      </c>
      <c r="E5" s="118" t="s">
        <v>132</v>
      </c>
      <c r="F5" s="114" t="s">
        <v>133</v>
      </c>
      <c r="G5" s="114"/>
      <c r="H5" s="114"/>
      <c r="I5" s="118" t="s">
        <v>134</v>
      </c>
      <c r="J5" s="116" t="s">
        <v>135</v>
      </c>
      <c r="K5" s="116"/>
      <c r="L5" s="117"/>
    </row>
    <row r="6" spans="1:12" ht="12.75">
      <c r="A6" s="118"/>
      <c r="B6" s="118" t="s">
        <v>136</v>
      </c>
      <c r="C6" s="118" t="s">
        <v>137</v>
      </c>
      <c r="D6" s="118" t="s">
        <v>138</v>
      </c>
      <c r="E6" s="118" t="s">
        <v>139</v>
      </c>
      <c r="F6" s="119" t="s">
        <v>140</v>
      </c>
      <c r="G6" s="114"/>
      <c r="H6" s="120"/>
      <c r="I6" s="118" t="s">
        <v>141</v>
      </c>
      <c r="J6" s="116" t="s">
        <v>142</v>
      </c>
      <c r="K6" s="116"/>
      <c r="L6" s="117"/>
    </row>
    <row r="7" spans="1:12" ht="12.75">
      <c r="A7" s="118"/>
      <c r="B7" s="118"/>
      <c r="C7" s="118"/>
      <c r="D7" s="118" t="s">
        <v>143</v>
      </c>
      <c r="E7" s="118" t="s">
        <v>144</v>
      </c>
      <c r="F7" s="121" t="s">
        <v>145</v>
      </c>
      <c r="G7" s="118" t="s">
        <v>146</v>
      </c>
      <c r="H7" s="118" t="s">
        <v>147</v>
      </c>
      <c r="I7" s="118" t="s">
        <v>148</v>
      </c>
      <c r="J7" s="116" t="s">
        <v>149</v>
      </c>
      <c r="K7" s="116"/>
      <c r="L7" s="117"/>
    </row>
    <row r="8" spans="1:12" ht="12.75">
      <c r="A8" s="118"/>
      <c r="B8" s="118"/>
      <c r="C8" s="118"/>
      <c r="D8" s="118"/>
      <c r="E8" s="118"/>
      <c r="F8" s="121" t="s">
        <v>150</v>
      </c>
      <c r="G8" s="118" t="s">
        <v>151</v>
      </c>
      <c r="H8" s="118" t="s">
        <v>152</v>
      </c>
      <c r="I8" s="118"/>
      <c r="J8" s="122" t="s">
        <v>153</v>
      </c>
      <c r="K8" s="123"/>
      <c r="L8" s="117"/>
    </row>
    <row r="9" spans="1:12" ht="12.75">
      <c r="A9" s="124"/>
      <c r="B9" s="124"/>
      <c r="C9" s="124"/>
      <c r="D9" s="124"/>
      <c r="E9" s="124"/>
      <c r="F9" s="125"/>
      <c r="G9" s="124"/>
      <c r="H9" s="124"/>
      <c r="I9" s="124"/>
      <c r="J9" s="126" t="s">
        <v>154</v>
      </c>
      <c r="K9" s="116"/>
      <c r="L9" s="117"/>
    </row>
    <row r="10" spans="1:12" ht="15">
      <c r="A10" s="127">
        <v>1</v>
      </c>
      <c r="B10" s="127">
        <v>2</v>
      </c>
      <c r="C10" s="127">
        <v>3</v>
      </c>
      <c r="D10" s="127">
        <v>4</v>
      </c>
      <c r="E10" s="127">
        <v>5</v>
      </c>
      <c r="F10" s="127">
        <v>6</v>
      </c>
      <c r="G10" s="127">
        <v>7</v>
      </c>
      <c r="H10" s="127">
        <v>9</v>
      </c>
      <c r="I10" s="127">
        <v>13</v>
      </c>
      <c r="J10" s="127">
        <v>14</v>
      </c>
      <c r="K10" s="128"/>
      <c r="L10" s="129"/>
    </row>
    <row r="11" spans="1:12" ht="12.75">
      <c r="A11" s="127">
        <v>1</v>
      </c>
      <c r="B11" s="130" t="s">
        <v>155</v>
      </c>
      <c r="C11" s="127" t="s">
        <v>156</v>
      </c>
      <c r="D11" s="131">
        <v>8</v>
      </c>
      <c r="E11" s="132">
        <v>128</v>
      </c>
      <c r="F11" s="265">
        <f>'табл 4'!E14</f>
        <v>98091.441818496</v>
      </c>
      <c r="G11" s="265"/>
      <c r="H11" s="265">
        <f>F11+G11</f>
        <v>98091.441818496</v>
      </c>
      <c r="I11" s="133"/>
      <c r="J11" s="134">
        <f>ROUND(H11/E11*(1+I11),3)</f>
        <v>766.339</v>
      </c>
      <c r="K11" s="135"/>
      <c r="L11" s="136"/>
    </row>
    <row r="12" spans="1:12" ht="12.75">
      <c r="A12" s="127">
        <v>2</v>
      </c>
      <c r="B12" s="130" t="s">
        <v>157</v>
      </c>
      <c r="C12" s="127" t="s">
        <v>156</v>
      </c>
      <c r="D12" s="131">
        <v>1</v>
      </c>
      <c r="E12" s="132">
        <v>150</v>
      </c>
      <c r="F12" s="265">
        <f>'табл 4'!F14</f>
        <v>12261.430227312</v>
      </c>
      <c r="G12" s="265"/>
      <c r="H12" s="265">
        <f>F12+G12</f>
        <v>12261.430227312</v>
      </c>
      <c r="I12" s="133"/>
      <c r="J12" s="134">
        <f>ROUND(H12/E12*(1+I12),3)</f>
        <v>81.743</v>
      </c>
      <c r="K12" s="135"/>
      <c r="L12" s="136"/>
    </row>
    <row r="13" spans="1:12" ht="12.75">
      <c r="A13" s="127">
        <v>3</v>
      </c>
      <c r="B13" s="130" t="s">
        <v>155</v>
      </c>
      <c r="C13" s="137" t="s">
        <v>158</v>
      </c>
      <c r="D13" s="131">
        <v>4</v>
      </c>
      <c r="E13" s="132">
        <v>60</v>
      </c>
      <c r="F13" s="265">
        <f>'табл 4'!G14</f>
        <v>49045.720909248</v>
      </c>
      <c r="G13" s="265"/>
      <c r="H13" s="265">
        <f>F13+G13</f>
        <v>49045.720909248</v>
      </c>
      <c r="I13" s="138"/>
      <c r="J13" s="134">
        <f>ROUND(H13/E13*(1+I13),3)</f>
        <v>817.429</v>
      </c>
      <c r="K13" s="135"/>
      <c r="L13" s="136"/>
    </row>
    <row r="14" spans="1:12" ht="12.75">
      <c r="A14" s="127">
        <v>4</v>
      </c>
      <c r="B14" s="130" t="s">
        <v>157</v>
      </c>
      <c r="C14" s="137" t="s">
        <v>158</v>
      </c>
      <c r="D14" s="131"/>
      <c r="E14" s="132"/>
      <c r="F14" s="265">
        <f>'табл 4'!H14</f>
        <v>0</v>
      </c>
      <c r="G14" s="265" t="s">
        <v>159</v>
      </c>
      <c r="H14" s="265">
        <f>F14</f>
        <v>0</v>
      </c>
      <c r="I14" s="133"/>
      <c r="J14" s="134" t="e">
        <f>ROUND(H14/E14*(1+I14),3)</f>
        <v>#DIV/0!</v>
      </c>
      <c r="K14" s="135"/>
      <c r="L14" s="136"/>
    </row>
    <row r="15" spans="1:12" ht="12.75">
      <c r="A15" s="127">
        <v>5</v>
      </c>
      <c r="B15" s="130" t="s">
        <v>160</v>
      </c>
      <c r="C15" s="137" t="s">
        <v>158</v>
      </c>
      <c r="D15" s="138"/>
      <c r="E15" s="139"/>
      <c r="F15" s="265"/>
      <c r="G15" s="265"/>
      <c r="H15" s="265"/>
      <c r="I15" s="138"/>
      <c r="J15" s="140"/>
      <c r="K15" s="135"/>
      <c r="L15" s="136"/>
    </row>
    <row r="16" spans="1:12" ht="12.75">
      <c r="A16" s="127"/>
      <c r="B16" s="130" t="s">
        <v>161</v>
      </c>
      <c r="C16" s="127" t="s">
        <v>162</v>
      </c>
      <c r="D16" s="141">
        <f>SUM(D11:D15)</f>
        <v>13</v>
      </c>
      <c r="E16" s="139">
        <f>SUM(E11:E15)</f>
        <v>338</v>
      </c>
      <c r="F16" s="265">
        <f>SUM(F11:F15)</f>
        <v>159398.592955056</v>
      </c>
      <c r="G16" s="265"/>
      <c r="H16" s="265">
        <f>SUM(F16:G16)</f>
        <v>159398.592955056</v>
      </c>
      <c r="I16" s="127" t="s">
        <v>162</v>
      </c>
      <c r="J16" s="142">
        <f>H16/E16</f>
        <v>471.59347028123074</v>
      </c>
      <c r="K16" s="143"/>
      <c r="L16" s="144"/>
    </row>
    <row r="17" spans="1:12" ht="15">
      <c r="A17" s="82"/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145"/>
    </row>
    <row r="18" spans="1:12" ht="15.75">
      <c r="A18" s="328" t="s">
        <v>358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112"/>
    </row>
    <row r="19" spans="1:12" ht="15">
      <c r="A19" s="82"/>
      <c r="B19" s="82"/>
      <c r="C19" s="82"/>
      <c r="D19" s="82"/>
      <c r="E19" s="82"/>
      <c r="F19" s="82"/>
      <c r="G19" s="82"/>
      <c r="H19" s="82"/>
      <c r="I19" s="82"/>
      <c r="J19" s="83" t="s">
        <v>163</v>
      </c>
      <c r="K19" s="82"/>
      <c r="L19" s="112"/>
    </row>
    <row r="20" spans="1:12" ht="12.75">
      <c r="A20" s="113" t="s">
        <v>80</v>
      </c>
      <c r="B20" s="113" t="s">
        <v>122</v>
      </c>
      <c r="C20" s="113" t="s">
        <v>123</v>
      </c>
      <c r="D20" s="113" t="s">
        <v>124</v>
      </c>
      <c r="E20" s="113" t="s">
        <v>125</v>
      </c>
      <c r="F20" s="333" t="s">
        <v>126</v>
      </c>
      <c r="G20" s="334"/>
      <c r="H20" s="334"/>
      <c r="I20" s="113" t="s">
        <v>127</v>
      </c>
      <c r="J20" s="113" t="s">
        <v>164</v>
      </c>
      <c r="K20" s="113" t="s">
        <v>128</v>
      </c>
      <c r="L20" s="146" t="s">
        <v>165</v>
      </c>
    </row>
    <row r="21" spans="1:12" ht="12.75">
      <c r="A21" s="118"/>
      <c r="B21" s="118" t="s">
        <v>129</v>
      </c>
      <c r="C21" s="118" t="s">
        <v>130</v>
      </c>
      <c r="D21" s="118" t="s">
        <v>131</v>
      </c>
      <c r="E21" s="118" t="s">
        <v>132</v>
      </c>
      <c r="F21" s="114" t="s">
        <v>133</v>
      </c>
      <c r="G21" s="114"/>
      <c r="H21" s="114"/>
      <c r="I21" s="118" t="s">
        <v>134</v>
      </c>
      <c r="J21" s="118" t="s">
        <v>135</v>
      </c>
      <c r="K21" s="118" t="s">
        <v>135</v>
      </c>
      <c r="L21" s="147" t="s">
        <v>166</v>
      </c>
    </row>
    <row r="22" spans="1:12" ht="12.75">
      <c r="A22" s="118"/>
      <c r="B22" s="118" t="s">
        <v>136</v>
      </c>
      <c r="C22" s="118" t="s">
        <v>137</v>
      </c>
      <c r="D22" s="118" t="s">
        <v>138</v>
      </c>
      <c r="E22" s="118" t="s">
        <v>139</v>
      </c>
      <c r="F22" s="119" t="s">
        <v>140</v>
      </c>
      <c r="G22" s="114"/>
      <c r="H22" s="120"/>
      <c r="I22" s="118" t="s">
        <v>141</v>
      </c>
      <c r="J22" s="118" t="s">
        <v>167</v>
      </c>
      <c r="K22" s="118" t="s">
        <v>168</v>
      </c>
      <c r="L22" s="147" t="s">
        <v>169</v>
      </c>
    </row>
    <row r="23" spans="1:12" ht="12.75">
      <c r="A23" s="118"/>
      <c r="B23" s="118"/>
      <c r="C23" s="118"/>
      <c r="D23" s="118" t="s">
        <v>143</v>
      </c>
      <c r="E23" s="118" t="s">
        <v>144</v>
      </c>
      <c r="F23" s="121" t="s">
        <v>145</v>
      </c>
      <c r="G23" s="118" t="s">
        <v>146</v>
      </c>
      <c r="H23" s="118" t="s">
        <v>147</v>
      </c>
      <c r="I23" s="118" t="s">
        <v>148</v>
      </c>
      <c r="J23" s="118" t="s">
        <v>170</v>
      </c>
      <c r="K23" s="118" t="s">
        <v>4</v>
      </c>
      <c r="L23" s="147" t="s">
        <v>4</v>
      </c>
    </row>
    <row r="24" spans="1:12" ht="12.75">
      <c r="A24" s="118"/>
      <c r="B24" s="118"/>
      <c r="C24" s="118"/>
      <c r="D24" s="118"/>
      <c r="E24" s="118"/>
      <c r="F24" s="121" t="s">
        <v>171</v>
      </c>
      <c r="G24" s="118" t="s">
        <v>151</v>
      </c>
      <c r="H24" s="118" t="s">
        <v>152</v>
      </c>
      <c r="I24" s="118"/>
      <c r="J24" s="118" t="s">
        <v>172</v>
      </c>
      <c r="K24" s="118" t="s">
        <v>173</v>
      </c>
      <c r="L24" s="147"/>
    </row>
    <row r="25" spans="1:12" ht="12.75">
      <c r="A25" s="124"/>
      <c r="B25" s="124"/>
      <c r="C25" s="124"/>
      <c r="D25" s="124"/>
      <c r="E25" s="124"/>
      <c r="F25" s="125" t="s">
        <v>174</v>
      </c>
      <c r="G25" s="124"/>
      <c r="H25" s="124"/>
      <c r="I25" s="124"/>
      <c r="J25" s="124" t="s">
        <v>175</v>
      </c>
      <c r="K25" s="124" t="s">
        <v>176</v>
      </c>
      <c r="L25" s="148"/>
    </row>
    <row r="26" spans="1:12" ht="12.75">
      <c r="A26" s="149">
        <v>1</v>
      </c>
      <c r="B26" s="149">
        <v>2</v>
      </c>
      <c r="C26" s="149">
        <v>3</v>
      </c>
      <c r="D26" s="149">
        <v>4</v>
      </c>
      <c r="E26" s="149">
        <v>5</v>
      </c>
      <c r="F26" s="149">
        <v>6</v>
      </c>
      <c r="G26" s="149">
        <v>7</v>
      </c>
      <c r="H26" s="149">
        <v>9</v>
      </c>
      <c r="I26" s="149">
        <v>13</v>
      </c>
      <c r="J26" s="149">
        <v>14</v>
      </c>
      <c r="K26" s="127">
        <v>15</v>
      </c>
      <c r="L26" s="150">
        <v>16</v>
      </c>
    </row>
    <row r="27" spans="1:12" ht="12.75">
      <c r="A27" s="151">
        <v>1</v>
      </c>
      <c r="B27" s="152" t="s">
        <v>177</v>
      </c>
      <c r="C27" s="153"/>
      <c r="D27" s="154"/>
      <c r="E27" s="152"/>
      <c r="F27" s="155"/>
      <c r="G27" s="154"/>
      <c r="H27" s="152"/>
      <c r="I27" s="152"/>
      <c r="J27" s="155"/>
      <c r="K27" s="156"/>
      <c r="L27" s="157"/>
    </row>
    <row r="28" spans="1:12" ht="12.75">
      <c r="A28" s="158"/>
      <c r="B28" s="133" t="s">
        <v>178</v>
      </c>
      <c r="C28" s="159" t="s">
        <v>156</v>
      </c>
      <c r="D28" s="160">
        <v>85</v>
      </c>
      <c r="E28" s="133">
        <v>345</v>
      </c>
      <c r="F28" s="266">
        <f>'табл 4'!D14</f>
        <v>1042221.5693215199</v>
      </c>
      <c r="G28" s="267"/>
      <c r="H28" s="268">
        <f>F28+G28</f>
        <v>1042221.5693215199</v>
      </c>
      <c r="I28" s="133"/>
      <c r="J28" s="266">
        <f>ROUND(H28/E28*(1+I28),3)</f>
        <v>3020.932</v>
      </c>
      <c r="K28" s="270">
        <v>550</v>
      </c>
      <c r="L28" s="269">
        <f>H28*(1+I28)-K28/1.18*D28</f>
        <v>1002602.9252537233</v>
      </c>
    </row>
    <row r="29" spans="1:12" ht="12.75">
      <c r="A29" s="159"/>
      <c r="B29" s="161" t="s">
        <v>161</v>
      </c>
      <c r="C29" s="159" t="s">
        <v>162</v>
      </c>
      <c r="D29" s="161">
        <f>D28</f>
        <v>85</v>
      </c>
      <c r="E29" s="161">
        <f>E28</f>
        <v>345</v>
      </c>
      <c r="F29" s="266">
        <f>F28</f>
        <v>1042221.5693215199</v>
      </c>
      <c r="G29" s="266"/>
      <c r="H29" s="266">
        <f>H28</f>
        <v>1042221.5693215199</v>
      </c>
      <c r="I29" s="159" t="s">
        <v>162</v>
      </c>
      <c r="J29" s="159" t="s">
        <v>162</v>
      </c>
      <c r="K29" s="159" t="s">
        <v>162</v>
      </c>
      <c r="L29" s="162"/>
    </row>
    <row r="30" spans="1:12" ht="1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112"/>
    </row>
  </sheetData>
  <sheetProtection/>
  <mergeCells count="5">
    <mergeCell ref="F4:H4"/>
    <mergeCell ref="F20:H20"/>
    <mergeCell ref="A1:J1"/>
    <mergeCell ref="A2:J2"/>
    <mergeCell ref="A18:K18"/>
  </mergeCells>
  <printOptions/>
  <pageMargins left="0.7086614173228347" right="0.7086614173228347" top="0.7480314960629921" bottom="0.7480314960629921" header="0.31496062992125984" footer="0.31496062992125984"/>
  <pageSetup orientation="landscape" paperSize="9" scale="9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7.375" style="0" customWidth="1"/>
    <col min="2" max="2" width="65.00390625" style="0" customWidth="1"/>
    <col min="3" max="3" width="11.625" style="0" customWidth="1"/>
    <col min="4" max="4" width="20.25390625" style="0" customWidth="1"/>
  </cols>
  <sheetData>
    <row r="1" spans="1:4" ht="15.75">
      <c r="A1" s="328" t="s">
        <v>359</v>
      </c>
      <c r="B1" s="328"/>
      <c r="C1" s="328"/>
      <c r="D1" s="328"/>
    </row>
    <row r="2" spans="1:4" ht="15">
      <c r="A2" s="82"/>
      <c r="B2" s="82"/>
      <c r="C2" s="82"/>
      <c r="D2" s="82"/>
    </row>
    <row r="3" spans="1:4" ht="15">
      <c r="A3" s="82"/>
      <c r="B3" s="82"/>
      <c r="C3" s="82"/>
      <c r="D3" s="82"/>
    </row>
    <row r="4" spans="1:4" ht="15">
      <c r="A4" s="82"/>
      <c r="B4" s="82"/>
      <c r="C4" s="82"/>
      <c r="D4" s="83" t="s">
        <v>179</v>
      </c>
    </row>
    <row r="5" spans="1:4" ht="15">
      <c r="A5" s="85" t="s">
        <v>10</v>
      </c>
      <c r="B5" s="85" t="s">
        <v>180</v>
      </c>
      <c r="C5" s="85" t="s">
        <v>181</v>
      </c>
      <c r="D5" s="85" t="s">
        <v>82</v>
      </c>
    </row>
    <row r="6" spans="1:4" ht="15">
      <c r="A6" s="95"/>
      <c r="B6" s="95"/>
      <c r="C6" s="95" t="s">
        <v>182</v>
      </c>
      <c r="D6" s="95"/>
    </row>
    <row r="7" spans="1:4" ht="15">
      <c r="A7" s="84">
        <v>1</v>
      </c>
      <c r="B7" s="84">
        <v>2</v>
      </c>
      <c r="C7" s="84">
        <v>3</v>
      </c>
      <c r="D7" s="84">
        <v>4</v>
      </c>
    </row>
    <row r="8" spans="1:4" ht="15">
      <c r="A8" s="87">
        <v>1</v>
      </c>
      <c r="B8" s="103" t="s">
        <v>183</v>
      </c>
      <c r="C8" s="85"/>
      <c r="D8" s="103"/>
    </row>
    <row r="9" spans="1:4" ht="15">
      <c r="A9" s="89"/>
      <c r="B9" s="93" t="s">
        <v>184</v>
      </c>
      <c r="C9" s="95" t="s">
        <v>4</v>
      </c>
      <c r="D9" s="163">
        <v>0</v>
      </c>
    </row>
    <row r="10" spans="1:4" ht="15">
      <c r="A10" s="164" t="s">
        <v>185</v>
      </c>
      <c r="B10" s="106" t="s">
        <v>186</v>
      </c>
      <c r="C10" s="84" t="s">
        <v>4</v>
      </c>
      <c r="D10" s="165"/>
    </row>
    <row r="11" spans="1:4" ht="15">
      <c r="A11" s="84">
        <v>2</v>
      </c>
      <c r="B11" s="108" t="s">
        <v>187</v>
      </c>
      <c r="C11" s="84" t="s">
        <v>4</v>
      </c>
      <c r="D11" s="283">
        <f>D12+D13+D14+D15</f>
        <v>1201620.1622765758</v>
      </c>
    </row>
    <row r="12" spans="1:4" ht="15">
      <c r="A12" s="84" t="s">
        <v>188</v>
      </c>
      <c r="B12" s="166" t="s">
        <v>189</v>
      </c>
      <c r="C12" s="84" t="s">
        <v>4</v>
      </c>
      <c r="D12" s="283">
        <f>'табл1-3'!D10</f>
        <v>333381.6233717761</v>
      </c>
    </row>
    <row r="13" spans="1:4" ht="15">
      <c r="A13" s="84" t="s">
        <v>190</v>
      </c>
      <c r="B13" s="166" t="s">
        <v>191</v>
      </c>
      <c r="C13" s="84" t="s">
        <v>4</v>
      </c>
      <c r="D13" s="283">
        <f>'табл1-3'!I10</f>
        <v>337637.93807519996</v>
      </c>
    </row>
    <row r="14" spans="1:4" ht="15">
      <c r="A14" s="167" t="s">
        <v>192</v>
      </c>
      <c r="B14" s="166" t="s">
        <v>193</v>
      </c>
      <c r="C14" s="84" t="s">
        <v>4</v>
      </c>
      <c r="D14" s="283">
        <f>'[1]таблицы 1-3'!I23</f>
        <v>0</v>
      </c>
    </row>
    <row r="15" spans="1:4" ht="15">
      <c r="A15" s="167" t="s">
        <v>194</v>
      </c>
      <c r="B15" s="166" t="s">
        <v>195</v>
      </c>
      <c r="C15" s="84" t="s">
        <v>4</v>
      </c>
      <c r="D15" s="283">
        <f>'табл1-3'!D27</f>
        <v>530600.6008295999</v>
      </c>
    </row>
    <row r="16" spans="1:4" ht="15">
      <c r="A16" s="84">
        <v>3</v>
      </c>
      <c r="B16" s="108" t="s">
        <v>196</v>
      </c>
      <c r="C16" s="84" t="s">
        <v>4</v>
      </c>
      <c r="D16" s="325">
        <v>2356380</v>
      </c>
    </row>
    <row r="17" spans="1:4" ht="15">
      <c r="A17" s="84">
        <v>4</v>
      </c>
      <c r="B17" s="108" t="s">
        <v>14</v>
      </c>
      <c r="C17" s="84" t="s">
        <v>4</v>
      </c>
      <c r="D17" s="283"/>
    </row>
    <row r="18" spans="1:4" ht="15">
      <c r="A18" s="84">
        <v>5</v>
      </c>
      <c r="B18" s="108" t="s">
        <v>197</v>
      </c>
      <c r="C18" s="84" t="s">
        <v>4</v>
      </c>
      <c r="D18" s="283">
        <f>D9+D11+D17+D16</f>
        <v>3558000.162276576</v>
      </c>
    </row>
    <row r="19" spans="1:4" ht="15">
      <c r="A19" s="84">
        <v>6</v>
      </c>
      <c r="B19" s="108" t="s">
        <v>198</v>
      </c>
      <c r="C19" s="84" t="s">
        <v>199</v>
      </c>
      <c r="D19" s="283">
        <f>'табл 5-6'!E16+'табл 5-6'!E29</f>
        <v>683</v>
      </c>
    </row>
    <row r="20" spans="1:4" ht="15">
      <c r="A20" s="111"/>
      <c r="B20" s="82"/>
      <c r="C20" s="111"/>
      <c r="D20" s="82"/>
    </row>
    <row r="21" spans="1:4" ht="15">
      <c r="A21" s="111"/>
      <c r="B21" s="82"/>
      <c r="C21" s="111"/>
      <c r="D21" s="168"/>
    </row>
    <row r="22" spans="1:4" ht="15">
      <c r="A22" s="111"/>
      <c r="B22" s="82"/>
      <c r="C22" s="111"/>
      <c r="D22" s="82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8" sqref="E8:F14"/>
    </sheetView>
  </sheetViews>
  <sheetFormatPr defaultColWidth="9.00390625" defaultRowHeight="12.75"/>
  <cols>
    <col min="1" max="1" width="6.75390625" style="0" customWidth="1"/>
    <col min="2" max="2" width="36.75390625" style="0" customWidth="1"/>
    <col min="3" max="3" width="8.875" style="0" customWidth="1"/>
    <col min="4" max="4" width="15.375" style="0" hidden="1" customWidth="1"/>
    <col min="5" max="6" width="19.375" style="0" customWidth="1"/>
    <col min="7" max="7" width="21.75390625" style="0" customWidth="1"/>
  </cols>
  <sheetData>
    <row r="1" spans="1:7" ht="18.75">
      <c r="A1" s="18"/>
      <c r="B1" s="1"/>
      <c r="C1" s="27"/>
      <c r="D1" s="1"/>
      <c r="E1" s="1"/>
      <c r="F1" s="1"/>
      <c r="G1" s="1"/>
    </row>
    <row r="2" spans="1:8" ht="15">
      <c r="A2" s="327" t="s">
        <v>2</v>
      </c>
      <c r="B2" s="327"/>
      <c r="C2" s="327"/>
      <c r="D2" s="327"/>
      <c r="E2" s="327"/>
      <c r="F2" s="327"/>
      <c r="G2" s="327"/>
      <c r="H2" s="4"/>
    </row>
    <row r="3" spans="1:8" ht="15.75">
      <c r="A3" s="335" t="s">
        <v>387</v>
      </c>
      <c r="B3" s="335"/>
      <c r="C3" s="335"/>
      <c r="D3" s="335"/>
      <c r="E3" s="335"/>
      <c r="F3" s="335"/>
      <c r="G3" s="335"/>
      <c r="H3" s="2"/>
    </row>
    <row r="4" spans="1:8" ht="15.75">
      <c r="A4" s="336"/>
      <c r="B4" s="336"/>
      <c r="C4" s="336"/>
      <c r="D4" s="336"/>
      <c r="E4" s="336"/>
      <c r="F4" s="336"/>
      <c r="G4" s="336"/>
      <c r="H4" s="2"/>
    </row>
    <row r="5" spans="1:8" ht="15.75">
      <c r="A5" s="17"/>
      <c r="B5" s="3"/>
      <c r="C5" s="7"/>
      <c r="E5" s="3"/>
      <c r="F5" s="3"/>
      <c r="G5" s="2"/>
      <c r="H5" s="2"/>
    </row>
    <row r="6" ht="12.75">
      <c r="A6" s="6"/>
    </row>
    <row r="7" spans="1:8" ht="38.25">
      <c r="A7" s="14" t="s">
        <v>10</v>
      </c>
      <c r="B7" s="14" t="s">
        <v>8</v>
      </c>
      <c r="C7" s="14" t="s">
        <v>9</v>
      </c>
      <c r="D7" s="14" t="s">
        <v>5</v>
      </c>
      <c r="E7" s="15" t="s">
        <v>328</v>
      </c>
      <c r="F7" s="15" t="s">
        <v>326</v>
      </c>
      <c r="G7" s="15" t="s">
        <v>12</v>
      </c>
      <c r="H7" s="6"/>
    </row>
    <row r="8" spans="1:8" ht="23.25" customHeight="1">
      <c r="A8" s="19">
        <v>1</v>
      </c>
      <c r="B8" s="208" t="s">
        <v>321</v>
      </c>
      <c r="C8" s="19" t="s">
        <v>4</v>
      </c>
      <c r="D8" s="14"/>
      <c r="E8" s="81"/>
      <c r="F8" s="228"/>
      <c r="G8" s="81">
        <f>E8*F8</f>
        <v>0</v>
      </c>
      <c r="H8" s="6"/>
    </row>
    <row r="9" spans="1:7" ht="19.5" customHeight="1">
      <c r="A9" s="19">
        <v>2</v>
      </c>
      <c r="B9" s="20" t="s">
        <v>3</v>
      </c>
      <c r="C9" s="19" t="s">
        <v>4</v>
      </c>
      <c r="D9" s="28" t="s">
        <v>25</v>
      </c>
      <c r="E9" s="81"/>
      <c r="F9" s="20"/>
      <c r="G9" s="81">
        <f>E9*F9</f>
        <v>0</v>
      </c>
    </row>
    <row r="10" spans="1:7" ht="23.25" customHeight="1">
      <c r="A10" s="19">
        <v>3</v>
      </c>
      <c r="B10" s="22" t="s">
        <v>322</v>
      </c>
      <c r="C10" s="19" t="s">
        <v>4</v>
      </c>
      <c r="D10" s="20" t="s">
        <v>15</v>
      </c>
      <c r="E10" s="81"/>
      <c r="F10" s="228"/>
      <c r="G10" s="81">
        <f>E10*F10</f>
        <v>0</v>
      </c>
    </row>
    <row r="11" spans="1:7" ht="25.5" customHeight="1">
      <c r="A11" s="19">
        <v>4</v>
      </c>
      <c r="B11" s="22" t="s">
        <v>314</v>
      </c>
      <c r="C11" s="19" t="s">
        <v>4</v>
      </c>
      <c r="D11" s="20" t="s">
        <v>6</v>
      </c>
      <c r="E11" s="81"/>
      <c r="F11" s="20"/>
      <c r="G11" s="81">
        <f>E11*F11</f>
        <v>0</v>
      </c>
    </row>
    <row r="12" spans="1:7" ht="22.5" customHeight="1">
      <c r="A12" s="19">
        <v>5</v>
      </c>
      <c r="B12" s="9" t="s">
        <v>74</v>
      </c>
      <c r="C12" s="19" t="s">
        <v>4</v>
      </c>
      <c r="D12" s="20" t="s">
        <v>22</v>
      </c>
      <c r="E12" s="81"/>
      <c r="F12" s="20"/>
      <c r="G12" s="81">
        <f>E12</f>
        <v>0</v>
      </c>
    </row>
    <row r="13" spans="1:7" ht="24" customHeight="1">
      <c r="A13" s="19">
        <v>6</v>
      </c>
      <c r="B13" s="20" t="s">
        <v>262</v>
      </c>
      <c r="C13" s="19" t="s">
        <v>4</v>
      </c>
      <c r="D13" s="23">
        <v>0.4</v>
      </c>
      <c r="E13" s="80"/>
      <c r="F13" s="23"/>
      <c r="G13" s="81">
        <f>SUM(G8:G12)*E13</f>
        <v>0</v>
      </c>
    </row>
    <row r="14" spans="1:7" ht="24" customHeight="1">
      <c r="A14" s="19">
        <v>7</v>
      </c>
      <c r="B14" s="20" t="s">
        <v>14</v>
      </c>
      <c r="C14" s="19" t="s">
        <v>4</v>
      </c>
      <c r="D14" s="23">
        <v>0.09</v>
      </c>
      <c r="E14" s="80"/>
      <c r="F14" s="23"/>
      <c r="G14" s="81">
        <f>SUM(G8:G13)*E14</f>
        <v>0</v>
      </c>
    </row>
    <row r="15" spans="1:7" ht="21.75" customHeight="1">
      <c r="A15" s="19"/>
      <c r="B15" s="24" t="s">
        <v>19</v>
      </c>
      <c r="C15" s="19" t="s">
        <v>4</v>
      </c>
      <c r="D15" s="20"/>
      <c r="E15" s="21"/>
      <c r="F15" s="20"/>
      <c r="G15" s="79">
        <f>SUM(G8:G14)</f>
        <v>0</v>
      </c>
    </row>
    <row r="16" spans="1:7" ht="12.75" hidden="1">
      <c r="A16" s="19"/>
      <c r="B16" s="20" t="s">
        <v>11</v>
      </c>
      <c r="C16" s="19" t="s">
        <v>4</v>
      </c>
      <c r="D16" s="23">
        <v>0.18</v>
      </c>
      <c r="E16" s="23">
        <v>0.18</v>
      </c>
      <c r="F16" s="23"/>
      <c r="G16" s="21">
        <f>G15*0.18</f>
        <v>0</v>
      </c>
    </row>
    <row r="17" spans="1:7" ht="12.75" hidden="1">
      <c r="A17" s="19"/>
      <c r="B17" s="25" t="s">
        <v>21</v>
      </c>
      <c r="C17" s="19" t="s">
        <v>4</v>
      </c>
      <c r="D17" s="20"/>
      <c r="E17" s="21"/>
      <c r="F17" s="20"/>
      <c r="G17" s="26">
        <f>G15+G16</f>
        <v>0</v>
      </c>
    </row>
    <row r="18" spans="1:7" ht="12.75">
      <c r="A18" s="212"/>
      <c r="B18" s="213"/>
      <c r="C18" s="212"/>
      <c r="D18" s="214"/>
      <c r="E18" s="215"/>
      <c r="F18" s="214"/>
      <c r="G18" s="216"/>
    </row>
    <row r="19" ht="12.75">
      <c r="A19" s="6"/>
    </row>
    <row r="20" spans="1:8" ht="14.25">
      <c r="A20" s="6"/>
      <c r="B20" s="77"/>
      <c r="C20" s="77"/>
      <c r="D20" s="77"/>
      <c r="E20" s="77"/>
      <c r="F20" s="77"/>
      <c r="G20" s="76"/>
      <c r="H20" s="75"/>
    </row>
    <row r="21" ht="12.75">
      <c r="A21" s="6"/>
    </row>
    <row r="22" ht="12.75">
      <c r="A22" s="6"/>
    </row>
  </sheetData>
  <sheetProtection/>
  <mergeCells count="2">
    <mergeCell ref="A2:G2"/>
    <mergeCell ref="A3:G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="70" zoomScaleNormal="70" zoomScalePageLayoutView="0" workbookViewId="0" topLeftCell="E16">
      <selection activeCell="M32" sqref="M32"/>
    </sheetView>
  </sheetViews>
  <sheetFormatPr defaultColWidth="9.00390625" defaultRowHeight="12.75"/>
  <cols>
    <col min="2" max="2" width="51.375" style="29" customWidth="1"/>
    <col min="3" max="3" width="17.00390625" style="0" customWidth="1"/>
    <col min="4" max="4" width="12.125" style="0" customWidth="1"/>
    <col min="5" max="5" width="7.375" style="0" customWidth="1"/>
    <col min="6" max="6" width="8.125" style="0" customWidth="1"/>
    <col min="7" max="7" width="51.00390625" style="0" customWidth="1"/>
    <col min="8" max="8" width="15.75390625" style="0" customWidth="1"/>
    <col min="9" max="9" width="11.25390625" style="0" customWidth="1"/>
    <col min="10" max="10" width="6.00390625" style="0" customWidth="1"/>
    <col min="11" max="11" width="5.25390625" style="0" customWidth="1"/>
    <col min="12" max="12" width="8.125" style="0" customWidth="1"/>
    <col min="13" max="13" width="52.25390625" style="0" customWidth="1"/>
    <col min="14" max="14" width="17.375" style="0" customWidth="1"/>
    <col min="15" max="15" width="11.875" style="0" customWidth="1"/>
  </cols>
  <sheetData>
    <row r="1" spans="1:15" ht="15.75" customHeight="1">
      <c r="A1" s="347" t="s">
        <v>56</v>
      </c>
      <c r="B1" s="347"/>
      <c r="C1" s="347"/>
      <c r="D1" s="347"/>
      <c r="F1" s="350" t="s">
        <v>58</v>
      </c>
      <c r="G1" s="350"/>
      <c r="H1" s="350"/>
      <c r="I1" s="350"/>
      <c r="K1" s="350" t="s">
        <v>56</v>
      </c>
      <c r="L1" s="350"/>
      <c r="M1" s="350"/>
      <c r="N1" s="350"/>
      <c r="O1" s="350"/>
    </row>
    <row r="2" spans="1:15" ht="15.75" customHeight="1">
      <c r="A2" s="347" t="s">
        <v>57</v>
      </c>
      <c r="B2" s="347"/>
      <c r="C2" s="347"/>
      <c r="D2" s="347"/>
      <c r="F2" s="350" t="s">
        <v>327</v>
      </c>
      <c r="G2" s="350"/>
      <c r="H2" s="350"/>
      <c r="I2" s="350"/>
      <c r="K2" s="350" t="s">
        <v>59</v>
      </c>
      <c r="L2" s="350"/>
      <c r="M2" s="350"/>
      <c r="N2" s="350"/>
      <c r="O2" s="350"/>
    </row>
    <row r="3" spans="1:15" ht="15.75" customHeight="1">
      <c r="A3" s="347" t="s">
        <v>13</v>
      </c>
      <c r="B3" s="347"/>
      <c r="C3" s="347"/>
      <c r="D3" s="347"/>
      <c r="F3" s="347" t="s">
        <v>63</v>
      </c>
      <c r="G3" s="347"/>
      <c r="H3" s="347"/>
      <c r="I3" s="347"/>
      <c r="K3" s="350" t="s">
        <v>13</v>
      </c>
      <c r="L3" s="350"/>
      <c r="M3" s="350"/>
      <c r="N3" s="350"/>
      <c r="O3" s="350"/>
    </row>
    <row r="4" spans="1:15" ht="15.75" customHeight="1">
      <c r="A4" s="347" t="s">
        <v>63</v>
      </c>
      <c r="B4" s="347"/>
      <c r="C4" s="347"/>
      <c r="D4" s="347"/>
      <c r="F4" s="347" t="s">
        <v>363</v>
      </c>
      <c r="G4" s="347"/>
      <c r="H4" s="347"/>
      <c r="I4" s="347"/>
      <c r="K4" s="70"/>
      <c r="L4" s="347" t="s">
        <v>63</v>
      </c>
      <c r="M4" s="347"/>
      <c r="N4" s="347"/>
      <c r="O4" s="347"/>
    </row>
    <row r="5" spans="1:15" ht="15.75" customHeight="1">
      <c r="A5" s="347" t="s">
        <v>363</v>
      </c>
      <c r="B5" s="347"/>
      <c r="C5" s="347"/>
      <c r="D5" s="347"/>
      <c r="F5" s="347"/>
      <c r="G5" s="347"/>
      <c r="H5" s="347"/>
      <c r="I5" s="347"/>
      <c r="K5" s="70"/>
      <c r="L5" s="347" t="s">
        <v>363</v>
      </c>
      <c r="M5" s="347"/>
      <c r="N5" s="347"/>
      <c r="O5" s="347"/>
    </row>
    <row r="6" spans="1:15" ht="17.25" customHeight="1">
      <c r="A6" s="347"/>
      <c r="B6" s="347"/>
      <c r="C6" s="347"/>
      <c r="D6" s="347"/>
      <c r="F6" s="235" t="s">
        <v>382</v>
      </c>
      <c r="G6" s="237"/>
      <c r="H6" s="48" t="s">
        <v>51</v>
      </c>
      <c r="I6" s="48" t="s">
        <v>52</v>
      </c>
      <c r="K6" s="70"/>
      <c r="L6" s="347"/>
      <c r="M6" s="347"/>
      <c r="N6" s="347"/>
      <c r="O6" s="347"/>
    </row>
    <row r="7" spans="1:15" ht="23.25" customHeight="1">
      <c r="A7" s="235" t="s">
        <v>64</v>
      </c>
      <c r="B7" s="236"/>
      <c r="C7" s="48" t="s">
        <v>51</v>
      </c>
      <c r="D7" s="48" t="s">
        <v>52</v>
      </c>
      <c r="E7" s="54"/>
      <c r="F7" s="44">
        <v>1</v>
      </c>
      <c r="G7" s="50" t="s">
        <v>343</v>
      </c>
      <c r="H7" s="44" t="s">
        <v>38</v>
      </c>
      <c r="I7" s="308">
        <v>1</v>
      </c>
      <c r="J7" s="54"/>
      <c r="L7" s="238" t="s">
        <v>64</v>
      </c>
      <c r="M7" s="239"/>
      <c r="N7" s="48" t="s">
        <v>51</v>
      </c>
      <c r="O7" s="48" t="s">
        <v>52</v>
      </c>
    </row>
    <row r="8" spans="1:15" ht="30.75" customHeight="1">
      <c r="A8" s="348">
        <v>1</v>
      </c>
      <c r="B8" s="343" t="s">
        <v>60</v>
      </c>
      <c r="C8" s="348" t="s">
        <v>54</v>
      </c>
      <c r="D8" s="348">
        <v>0.25</v>
      </c>
      <c r="E8" s="67"/>
      <c r="F8" s="44">
        <v>2</v>
      </c>
      <c r="G8" s="50" t="s">
        <v>45</v>
      </c>
      <c r="H8" s="44" t="s">
        <v>36</v>
      </c>
      <c r="I8" s="308">
        <v>0.5</v>
      </c>
      <c r="J8" s="67"/>
      <c r="L8" s="44">
        <v>1</v>
      </c>
      <c r="M8" s="50" t="s">
        <v>343</v>
      </c>
      <c r="N8" s="44" t="s">
        <v>38</v>
      </c>
      <c r="O8" s="308">
        <v>1</v>
      </c>
    </row>
    <row r="9" spans="1:15" ht="26.25" customHeight="1">
      <c r="A9" s="349"/>
      <c r="B9" s="344"/>
      <c r="C9" s="349"/>
      <c r="D9" s="349"/>
      <c r="E9" s="67"/>
      <c r="F9" s="44">
        <v>3</v>
      </c>
      <c r="G9" s="50" t="s">
        <v>46</v>
      </c>
      <c r="H9" s="44" t="s">
        <v>54</v>
      </c>
      <c r="I9" s="44">
        <v>0.25</v>
      </c>
      <c r="J9" s="67"/>
      <c r="L9" s="44">
        <v>2</v>
      </c>
      <c r="M9" s="50" t="s">
        <v>53</v>
      </c>
      <c r="N9" s="44" t="s">
        <v>36</v>
      </c>
      <c r="O9" s="308">
        <v>0.5</v>
      </c>
    </row>
    <row r="10" spans="1:15" ht="32.25" customHeight="1">
      <c r="A10" s="44">
        <v>2</v>
      </c>
      <c r="B10" s="50" t="s">
        <v>343</v>
      </c>
      <c r="C10" s="44" t="s">
        <v>383</v>
      </c>
      <c r="D10" s="308">
        <v>1</v>
      </c>
      <c r="E10" s="67"/>
      <c r="F10" s="44">
        <v>4</v>
      </c>
      <c r="G10" s="50" t="s">
        <v>47</v>
      </c>
      <c r="H10" s="44" t="s">
        <v>36</v>
      </c>
      <c r="I10" s="308">
        <v>0.5</v>
      </c>
      <c r="J10" s="67"/>
      <c r="L10" s="44">
        <v>3</v>
      </c>
      <c r="M10" s="50" t="s">
        <v>335</v>
      </c>
      <c r="N10" s="44" t="s">
        <v>36</v>
      </c>
      <c r="O10" s="308">
        <v>0.5</v>
      </c>
    </row>
    <row r="11" spans="1:15" ht="29.25" customHeight="1">
      <c r="A11" s="339">
        <v>3</v>
      </c>
      <c r="B11" s="343" t="s">
        <v>333</v>
      </c>
      <c r="C11" s="339" t="s">
        <v>40</v>
      </c>
      <c r="D11" s="339">
        <v>0.67</v>
      </c>
      <c r="E11" s="67"/>
      <c r="F11" s="12" t="s">
        <v>41</v>
      </c>
      <c r="G11" s="10"/>
      <c r="H11" s="51" t="s">
        <v>345</v>
      </c>
      <c r="I11" s="53">
        <f>I8+I9+I10+I7</f>
        <v>2.25</v>
      </c>
      <c r="J11" s="67"/>
      <c r="L11" s="12" t="s">
        <v>41</v>
      </c>
      <c r="M11" s="56"/>
      <c r="N11" s="247" t="s">
        <v>50</v>
      </c>
      <c r="O11" s="312">
        <f>O8+O9+O10</f>
        <v>2</v>
      </c>
    </row>
    <row r="12" spans="1:15" ht="21" customHeight="1">
      <c r="A12" s="340"/>
      <c r="B12" s="344"/>
      <c r="C12" s="340"/>
      <c r="D12" s="340"/>
      <c r="E12" s="67"/>
      <c r="F12" s="47" t="s">
        <v>348</v>
      </c>
      <c r="G12" s="52"/>
      <c r="H12" s="49"/>
      <c r="I12" s="57"/>
      <c r="J12" s="67"/>
      <c r="L12" s="64" t="s">
        <v>43</v>
      </c>
      <c r="M12" s="52"/>
      <c r="N12" s="40"/>
      <c r="O12" s="40"/>
    </row>
    <row r="13" spans="1:15" ht="25.5" customHeight="1">
      <c r="A13" s="339">
        <v>4</v>
      </c>
      <c r="B13" s="345" t="s">
        <v>334</v>
      </c>
      <c r="C13" s="339" t="s">
        <v>347</v>
      </c>
      <c r="D13" s="341">
        <v>4</v>
      </c>
      <c r="E13" s="67"/>
      <c r="F13" s="44">
        <v>1</v>
      </c>
      <c r="G13" s="50" t="s">
        <v>343</v>
      </c>
      <c r="H13" s="44" t="s">
        <v>50</v>
      </c>
      <c r="I13" s="308">
        <v>2</v>
      </c>
      <c r="J13" s="54"/>
      <c r="L13" s="339">
        <v>1</v>
      </c>
      <c r="M13" s="343" t="s">
        <v>344</v>
      </c>
      <c r="N13" s="339" t="s">
        <v>38</v>
      </c>
      <c r="O13" s="341">
        <v>1</v>
      </c>
    </row>
    <row r="14" spans="1:15" ht="29.25" customHeight="1">
      <c r="A14" s="340"/>
      <c r="B14" s="346"/>
      <c r="C14" s="340"/>
      <c r="D14" s="342"/>
      <c r="E14" s="67"/>
      <c r="F14" s="44">
        <v>2</v>
      </c>
      <c r="G14" s="50" t="s">
        <v>55</v>
      </c>
      <c r="H14" s="44" t="s">
        <v>50</v>
      </c>
      <c r="I14" s="308">
        <v>2</v>
      </c>
      <c r="J14" s="54"/>
      <c r="K14" s="61"/>
      <c r="L14" s="340"/>
      <c r="M14" s="344"/>
      <c r="N14" s="340"/>
      <c r="O14" s="342"/>
    </row>
    <row r="15" spans="1:15" ht="18.75" customHeight="1">
      <c r="A15" s="12" t="s">
        <v>41</v>
      </c>
      <c r="B15" s="10"/>
      <c r="C15" s="200" t="s">
        <v>330</v>
      </c>
      <c r="D15" s="230">
        <f>D8+D10+D11+D13</f>
        <v>5.92</v>
      </c>
      <c r="E15" s="67"/>
      <c r="F15" s="12" t="s">
        <v>41</v>
      </c>
      <c r="G15" s="50"/>
      <c r="H15" s="51" t="s">
        <v>347</v>
      </c>
      <c r="I15" s="310">
        <f>I13+I14</f>
        <v>4</v>
      </c>
      <c r="J15" s="67"/>
      <c r="L15" s="44">
        <v>2</v>
      </c>
      <c r="M15" s="50" t="s">
        <v>44</v>
      </c>
      <c r="N15" s="44" t="s">
        <v>36</v>
      </c>
      <c r="O15" s="308">
        <v>0.5</v>
      </c>
    </row>
    <row r="16" spans="1:15" ht="26.25" customHeight="1">
      <c r="A16" s="47" t="s">
        <v>65</v>
      </c>
      <c r="B16" s="52"/>
      <c r="C16" s="49"/>
      <c r="D16" s="49"/>
      <c r="E16" s="67"/>
      <c r="F16" s="55" t="s">
        <v>32</v>
      </c>
      <c r="G16" s="56"/>
      <c r="H16" s="49"/>
      <c r="I16" s="49"/>
      <c r="J16" s="67"/>
      <c r="L16" s="63" t="s">
        <v>41</v>
      </c>
      <c r="M16" s="50"/>
      <c r="N16" s="51" t="s">
        <v>70</v>
      </c>
      <c r="O16" s="230">
        <f>O13+O15</f>
        <v>1.5</v>
      </c>
    </row>
    <row r="17" spans="1:15" ht="27.75" customHeight="1">
      <c r="A17" s="44">
        <v>1</v>
      </c>
      <c r="B17" s="10" t="s">
        <v>42</v>
      </c>
      <c r="C17" s="44" t="s">
        <v>39</v>
      </c>
      <c r="D17" s="44">
        <v>0.33</v>
      </c>
      <c r="E17" s="67"/>
      <c r="F17" s="44">
        <v>1</v>
      </c>
      <c r="G17" s="50" t="s">
        <v>49</v>
      </c>
      <c r="H17" s="44" t="s">
        <v>50</v>
      </c>
      <c r="I17" s="311">
        <v>2</v>
      </c>
      <c r="J17" s="68"/>
      <c r="L17" s="55" t="s">
        <v>308</v>
      </c>
      <c r="M17" s="56"/>
      <c r="N17" s="49"/>
      <c r="O17" s="49"/>
    </row>
    <row r="18" spans="1:15" ht="29.25" customHeight="1">
      <c r="A18" s="339">
        <v>2</v>
      </c>
      <c r="B18" s="343" t="s">
        <v>331</v>
      </c>
      <c r="C18" s="339" t="s">
        <v>39</v>
      </c>
      <c r="D18" s="339">
        <v>0.33</v>
      </c>
      <c r="E18" s="67"/>
      <c r="F18" s="44">
        <v>2</v>
      </c>
      <c r="G18" s="50" t="s">
        <v>48</v>
      </c>
      <c r="H18" s="44" t="s">
        <v>37</v>
      </c>
      <c r="I18" s="44">
        <v>0.75</v>
      </c>
      <c r="J18" s="54"/>
      <c r="L18" s="44">
        <v>1</v>
      </c>
      <c r="M18" s="50" t="s">
        <v>343</v>
      </c>
      <c r="N18" s="44" t="s">
        <v>38</v>
      </c>
      <c r="O18" s="308">
        <v>1</v>
      </c>
    </row>
    <row r="19" spans="1:15" ht="27.75" customHeight="1">
      <c r="A19" s="340"/>
      <c r="B19" s="344"/>
      <c r="C19" s="340"/>
      <c r="D19" s="340"/>
      <c r="E19" s="67"/>
      <c r="F19" s="12" t="s">
        <v>41</v>
      </c>
      <c r="G19" s="50"/>
      <c r="H19" s="51" t="s">
        <v>346</v>
      </c>
      <c r="I19" s="51">
        <f>I17+I18</f>
        <v>2.75</v>
      </c>
      <c r="J19" s="66"/>
      <c r="L19" s="39">
        <v>2</v>
      </c>
      <c r="M19" s="232" t="s">
        <v>53</v>
      </c>
      <c r="N19" s="39" t="s">
        <v>36</v>
      </c>
      <c r="O19" s="313">
        <v>0.5</v>
      </c>
    </row>
    <row r="20" spans="1:15" ht="27" customHeight="1">
      <c r="A20" s="60" t="s">
        <v>41</v>
      </c>
      <c r="B20" s="10"/>
      <c r="C20" s="51" t="s">
        <v>332</v>
      </c>
      <c r="D20" s="230">
        <f>D17+D18</f>
        <v>0.66</v>
      </c>
      <c r="E20" s="67"/>
      <c r="F20" s="47" t="s">
        <v>64</v>
      </c>
      <c r="G20" s="56"/>
      <c r="H20" s="49"/>
      <c r="I20" s="49"/>
      <c r="J20" s="69"/>
      <c r="L20" s="63" t="s">
        <v>41</v>
      </c>
      <c r="M20" s="50"/>
      <c r="N20" s="51" t="s">
        <v>69</v>
      </c>
      <c r="O20" s="230">
        <f>O18+O19</f>
        <v>1.5</v>
      </c>
    </row>
    <row r="21" spans="1:15" ht="45" customHeight="1">
      <c r="A21" s="47" t="s">
        <v>43</v>
      </c>
      <c r="B21" s="52"/>
      <c r="C21" s="40"/>
      <c r="D21" s="40"/>
      <c r="E21" s="67"/>
      <c r="F21" s="44">
        <v>1</v>
      </c>
      <c r="G21" s="50" t="s">
        <v>339</v>
      </c>
      <c r="H21" s="45" t="s">
        <v>36</v>
      </c>
      <c r="I21" s="311">
        <v>0.5</v>
      </c>
      <c r="J21" s="67"/>
      <c r="L21" s="233" t="s">
        <v>369</v>
      </c>
      <c r="M21" s="234"/>
      <c r="N21" s="48"/>
      <c r="O21" s="65"/>
    </row>
    <row r="22" spans="1:15" ht="42.75" customHeight="1">
      <c r="A22" s="44">
        <v>1</v>
      </c>
      <c r="B22" s="62" t="s">
        <v>344</v>
      </c>
      <c r="C22" s="44" t="s">
        <v>383</v>
      </c>
      <c r="D22" s="308">
        <v>1</v>
      </c>
      <c r="E22" s="67"/>
      <c r="F22" s="44">
        <v>2</v>
      </c>
      <c r="G22" s="50" t="s">
        <v>338</v>
      </c>
      <c r="H22" s="44" t="s">
        <v>38</v>
      </c>
      <c r="I22" s="308">
        <v>1</v>
      </c>
      <c r="J22" s="68"/>
      <c r="L22" s="44">
        <v>1</v>
      </c>
      <c r="M22" s="50" t="s">
        <v>343</v>
      </c>
      <c r="N22" s="44" t="s">
        <v>38</v>
      </c>
      <c r="O22" s="308">
        <v>1</v>
      </c>
    </row>
    <row r="23" spans="1:15" ht="33.75" customHeight="1">
      <c r="A23" s="44">
        <v>2</v>
      </c>
      <c r="B23" s="62" t="s">
        <v>44</v>
      </c>
      <c r="C23" s="44" t="s">
        <v>40</v>
      </c>
      <c r="D23" s="44">
        <v>0.67</v>
      </c>
      <c r="E23" s="67"/>
      <c r="F23" s="12" t="s">
        <v>41</v>
      </c>
      <c r="G23" s="50"/>
      <c r="H23" s="51" t="s">
        <v>69</v>
      </c>
      <c r="I23" s="310">
        <f>I21+I22</f>
        <v>1.5</v>
      </c>
      <c r="J23" s="32"/>
      <c r="L23" s="231">
        <v>2</v>
      </c>
      <c r="M23" s="248" t="s">
        <v>336</v>
      </c>
      <c r="N23" s="231" t="s">
        <v>36</v>
      </c>
      <c r="O23" s="309">
        <v>0.5</v>
      </c>
    </row>
    <row r="24" spans="1:15" ht="30.75" customHeight="1">
      <c r="A24" s="60" t="s">
        <v>41</v>
      </c>
      <c r="B24" s="62"/>
      <c r="C24" s="229" t="s">
        <v>68</v>
      </c>
      <c r="D24" s="229">
        <f>D22+D23</f>
        <v>1.67</v>
      </c>
      <c r="E24" s="66"/>
      <c r="F24" s="47" t="s">
        <v>320</v>
      </c>
      <c r="G24" s="56"/>
      <c r="H24" s="44"/>
      <c r="I24" s="44"/>
      <c r="J24" s="32"/>
      <c r="L24" s="63" t="s">
        <v>41</v>
      </c>
      <c r="M24" s="50"/>
      <c r="N24" s="51" t="s">
        <v>69</v>
      </c>
      <c r="O24" s="314">
        <f>O21+O22+O23</f>
        <v>1.5</v>
      </c>
    </row>
    <row r="25" spans="1:15" ht="39" customHeight="1">
      <c r="A25" s="55" t="s">
        <v>308</v>
      </c>
      <c r="B25" s="56"/>
      <c r="C25" s="44"/>
      <c r="D25" s="44"/>
      <c r="E25" s="66"/>
      <c r="F25" s="44">
        <v>1</v>
      </c>
      <c r="G25" s="50" t="s">
        <v>340</v>
      </c>
      <c r="H25" s="44" t="s">
        <v>54</v>
      </c>
      <c r="I25" s="44">
        <v>0.25</v>
      </c>
      <c r="L25" s="337" t="s">
        <v>370</v>
      </c>
      <c r="M25" s="338"/>
      <c r="N25" s="44"/>
      <c r="O25" s="44"/>
    </row>
    <row r="26" spans="1:15" ht="39.75" customHeight="1">
      <c r="A26" s="44">
        <v>1</v>
      </c>
      <c r="B26" s="50" t="s">
        <v>343</v>
      </c>
      <c r="C26" s="44" t="s">
        <v>38</v>
      </c>
      <c r="D26" s="308">
        <v>1</v>
      </c>
      <c r="E26" s="67"/>
      <c r="F26" s="63" t="s">
        <v>41</v>
      </c>
      <c r="G26" s="62"/>
      <c r="H26" s="51" t="s">
        <v>54</v>
      </c>
      <c r="I26" s="230">
        <f>I25</f>
        <v>0.25</v>
      </c>
      <c r="L26" s="44">
        <v>1</v>
      </c>
      <c r="M26" s="50" t="s">
        <v>343</v>
      </c>
      <c r="N26" s="44" t="s">
        <v>38</v>
      </c>
      <c r="O26" s="308">
        <v>1</v>
      </c>
    </row>
    <row r="27" spans="1:15" ht="49.5" customHeight="1">
      <c r="A27" s="44">
        <v>2</v>
      </c>
      <c r="B27" s="227" t="s">
        <v>333</v>
      </c>
      <c r="C27" s="243" t="s">
        <v>40</v>
      </c>
      <c r="D27" s="243">
        <v>0.67</v>
      </c>
      <c r="E27" s="67"/>
      <c r="F27" s="337" t="s">
        <v>309</v>
      </c>
      <c r="G27" s="338"/>
      <c r="H27" s="40"/>
      <c r="I27" s="40"/>
      <c r="L27" s="231">
        <v>2</v>
      </c>
      <c r="M27" s="248" t="s">
        <v>337</v>
      </c>
      <c r="N27" s="231" t="s">
        <v>36</v>
      </c>
      <c r="O27" s="309">
        <v>0.5</v>
      </c>
    </row>
    <row r="28" spans="1:15" ht="47.25" customHeight="1">
      <c r="A28" s="63" t="s">
        <v>41</v>
      </c>
      <c r="B28" s="62"/>
      <c r="C28" s="51" t="s">
        <v>68</v>
      </c>
      <c r="D28" s="230">
        <f>D26+D27</f>
        <v>1.67</v>
      </c>
      <c r="E28" s="67"/>
      <c r="F28" s="44">
        <v>1</v>
      </c>
      <c r="G28" s="50" t="s">
        <v>341</v>
      </c>
      <c r="H28" s="243" t="s">
        <v>36</v>
      </c>
      <c r="I28" s="230">
        <v>0.5</v>
      </c>
      <c r="L28" s="63" t="s">
        <v>41</v>
      </c>
      <c r="M28" s="50"/>
      <c r="N28" s="51" t="s">
        <v>69</v>
      </c>
      <c r="O28" s="314">
        <f>O25+O26+O27</f>
        <v>1.5</v>
      </c>
    </row>
    <row r="29" spans="1:15" ht="42.75" customHeight="1">
      <c r="A29" s="73"/>
      <c r="B29" s="72"/>
      <c r="C29" s="74"/>
      <c r="D29" s="251"/>
      <c r="E29" s="67"/>
      <c r="F29" s="253" t="s">
        <v>41</v>
      </c>
      <c r="G29" s="241"/>
      <c r="H29" s="229" t="s">
        <v>36</v>
      </c>
      <c r="I29" s="230">
        <f>I28</f>
        <v>0.5</v>
      </c>
      <c r="L29" s="73"/>
      <c r="M29" s="72"/>
      <c r="N29" s="74"/>
      <c r="O29" s="240"/>
    </row>
    <row r="30" spans="1:15" ht="31.5" customHeight="1">
      <c r="A30" s="73"/>
      <c r="B30" s="72"/>
      <c r="C30" s="74"/>
      <c r="D30" s="252"/>
      <c r="E30" s="67"/>
      <c r="F30" s="337" t="s">
        <v>368</v>
      </c>
      <c r="G30" s="338"/>
      <c r="H30" s="44"/>
      <c r="I30" s="44"/>
      <c r="L30" s="73"/>
      <c r="M30" s="72"/>
      <c r="N30" s="74"/>
      <c r="O30" s="257"/>
    </row>
    <row r="31" spans="1:15" ht="30.75" customHeight="1">
      <c r="A31" s="244"/>
      <c r="B31" s="245"/>
      <c r="C31" s="68"/>
      <c r="D31" s="252"/>
      <c r="E31" s="67"/>
      <c r="F31" s="44">
        <v>1</v>
      </c>
      <c r="G31" s="249" t="s">
        <v>349</v>
      </c>
      <c r="H31" s="229" t="s">
        <v>342</v>
      </c>
      <c r="I31" s="243">
        <v>0.25</v>
      </c>
      <c r="L31" s="258"/>
      <c r="M31" s="259"/>
      <c r="N31" s="74"/>
      <c r="O31" s="66"/>
    </row>
    <row r="32" spans="1:15" ht="45" customHeight="1">
      <c r="A32" s="67"/>
      <c r="B32" s="250"/>
      <c r="C32" s="67"/>
      <c r="D32" s="67"/>
      <c r="E32" s="67"/>
      <c r="F32" s="253" t="s">
        <v>41</v>
      </c>
      <c r="G32" s="241"/>
      <c r="H32" s="229" t="s">
        <v>54</v>
      </c>
      <c r="I32" s="229">
        <f>I31</f>
        <v>0.25</v>
      </c>
      <c r="L32" s="244"/>
      <c r="M32" s="256"/>
      <c r="N32" s="68"/>
      <c r="O32" s="257"/>
    </row>
    <row r="33" spans="1:15" ht="19.5" customHeight="1">
      <c r="A33" s="73"/>
      <c r="B33" s="72"/>
      <c r="C33" s="74"/>
      <c r="E33" s="67"/>
      <c r="F33" s="254"/>
      <c r="G33" s="254"/>
      <c r="H33" s="255"/>
      <c r="I33" s="255"/>
      <c r="L33" s="244"/>
      <c r="M33" s="256"/>
      <c r="N33" s="68"/>
      <c r="O33" s="257"/>
    </row>
    <row r="34" spans="1:14" ht="28.5" customHeight="1">
      <c r="A34" s="73"/>
      <c r="B34" s="71"/>
      <c r="C34" s="74"/>
      <c r="E34" s="67"/>
      <c r="F34" s="244"/>
      <c r="G34" s="245"/>
      <c r="H34" s="68"/>
      <c r="I34" s="246"/>
      <c r="L34" s="73"/>
      <c r="M34" s="72"/>
      <c r="N34" s="74"/>
    </row>
    <row r="35" spans="5:14" ht="15">
      <c r="E35" s="67"/>
      <c r="F35" s="73"/>
      <c r="G35" s="72"/>
      <c r="H35" s="74"/>
      <c r="L35" s="73"/>
      <c r="M35" s="72"/>
      <c r="N35" s="74"/>
    </row>
    <row r="36" spans="5:14" ht="15">
      <c r="E36" s="67"/>
      <c r="F36" s="73"/>
      <c r="G36" s="72"/>
      <c r="H36" s="74"/>
      <c r="L36" s="73"/>
      <c r="M36" s="72"/>
      <c r="N36" s="74"/>
    </row>
    <row r="37" spans="5:8" ht="15">
      <c r="E37" s="67"/>
      <c r="F37" s="73"/>
      <c r="G37" s="72"/>
      <c r="H37" s="74"/>
    </row>
    <row r="38" ht="12.75">
      <c r="E38" s="46"/>
    </row>
    <row r="39" spans="5:14" ht="15">
      <c r="E39" s="32"/>
      <c r="L39" s="73"/>
      <c r="M39" s="72"/>
      <c r="N39" s="74"/>
    </row>
    <row r="43" ht="12.75">
      <c r="J43" s="31"/>
    </row>
    <row r="44" spans="7:10" ht="12.75">
      <c r="G44" s="31"/>
      <c r="H44" s="31"/>
      <c r="I44" s="31"/>
      <c r="J44" s="31"/>
    </row>
    <row r="45" spans="7:10" ht="12.75">
      <c r="G45" s="31"/>
      <c r="H45" s="31"/>
      <c r="I45" s="31"/>
      <c r="J45" s="31"/>
    </row>
    <row r="46" spans="7:10" ht="12.75">
      <c r="G46" s="31"/>
      <c r="H46" s="31"/>
      <c r="I46" s="31"/>
      <c r="J46" s="31"/>
    </row>
    <row r="47" spans="7:10" ht="12.75">
      <c r="G47" s="31"/>
      <c r="H47" s="31"/>
      <c r="I47" s="31"/>
      <c r="J47" s="31"/>
    </row>
    <row r="48" spans="7:10" ht="12.75">
      <c r="G48" s="31"/>
      <c r="H48" s="31"/>
      <c r="I48" s="31"/>
      <c r="J48" s="31"/>
    </row>
    <row r="49" spans="7:10" ht="12.75">
      <c r="G49" s="31"/>
      <c r="H49" s="31"/>
      <c r="I49" s="31"/>
      <c r="J49" s="31"/>
    </row>
    <row r="50" spans="7:10" ht="12.75">
      <c r="G50" s="31"/>
      <c r="H50" s="31"/>
      <c r="I50" s="31"/>
      <c r="J50" s="31"/>
    </row>
    <row r="51" spans="7:10" ht="12.75">
      <c r="G51" s="31"/>
      <c r="H51" s="31"/>
      <c r="I51" s="31"/>
      <c r="J51" s="31"/>
    </row>
    <row r="52" spans="7:10" ht="12.75">
      <c r="G52" s="31"/>
      <c r="H52" s="31"/>
      <c r="I52" s="31"/>
      <c r="J52" s="31"/>
    </row>
    <row r="53" spans="7:10" ht="12.75">
      <c r="G53" s="31"/>
      <c r="H53" s="31"/>
      <c r="I53" s="31"/>
      <c r="J53" s="31"/>
    </row>
    <row r="54" spans="7:10" ht="12.75">
      <c r="G54" s="31"/>
      <c r="H54" s="31"/>
      <c r="I54" s="31"/>
      <c r="J54" s="31"/>
    </row>
    <row r="55" spans="7:10" ht="12.75">
      <c r="G55" s="31"/>
      <c r="H55" s="31"/>
      <c r="I55" s="31"/>
      <c r="J55" s="31"/>
    </row>
    <row r="56" spans="7:10" ht="12.75">
      <c r="G56" s="31"/>
      <c r="H56" s="31"/>
      <c r="I56" s="31"/>
      <c r="J56" s="31"/>
    </row>
    <row r="57" spans="7:10" ht="12.75">
      <c r="G57" s="31"/>
      <c r="H57" s="31"/>
      <c r="I57" s="31"/>
      <c r="J57" s="31"/>
    </row>
    <row r="58" spans="7:10" ht="12.75">
      <c r="G58" s="31"/>
      <c r="H58" s="31"/>
      <c r="I58" s="31"/>
      <c r="J58" s="31"/>
    </row>
    <row r="59" spans="7:9" ht="12.75">
      <c r="G59" s="31"/>
      <c r="H59" s="31"/>
      <c r="I59" s="31"/>
    </row>
  </sheetData>
  <sheetProtection/>
  <mergeCells count="40">
    <mergeCell ref="L4:O4"/>
    <mergeCell ref="K1:O1"/>
    <mergeCell ref="K2:O2"/>
    <mergeCell ref="K3:O3"/>
    <mergeCell ref="A1:D1"/>
    <mergeCell ref="A2:D2"/>
    <mergeCell ref="A3:D3"/>
    <mergeCell ref="F1:I1"/>
    <mergeCell ref="F2:I2"/>
    <mergeCell ref="F3:I3"/>
    <mergeCell ref="L5:O5"/>
    <mergeCell ref="L6:O6"/>
    <mergeCell ref="A4:D4"/>
    <mergeCell ref="A5:D5"/>
    <mergeCell ref="A6:D6"/>
    <mergeCell ref="A18:A19"/>
    <mergeCell ref="C18:C19"/>
    <mergeCell ref="D18:D19"/>
    <mergeCell ref="B18:B19"/>
    <mergeCell ref="A11:A12"/>
    <mergeCell ref="F4:I4"/>
    <mergeCell ref="F5:I5"/>
    <mergeCell ref="B8:B9"/>
    <mergeCell ref="A8:A9"/>
    <mergeCell ref="C8:C9"/>
    <mergeCell ref="D8:D9"/>
    <mergeCell ref="C11:C12"/>
    <mergeCell ref="D11:D12"/>
    <mergeCell ref="B11:B12"/>
    <mergeCell ref="A13:A14"/>
    <mergeCell ref="C13:C14"/>
    <mergeCell ref="D13:D14"/>
    <mergeCell ref="B13:B14"/>
    <mergeCell ref="F27:G27"/>
    <mergeCell ref="F30:G30"/>
    <mergeCell ref="L13:L14"/>
    <mergeCell ref="N13:N14"/>
    <mergeCell ref="O13:O14"/>
    <mergeCell ref="M13:M14"/>
    <mergeCell ref="L25:M25"/>
  </mergeCells>
  <printOptions horizontalCentered="1"/>
  <pageMargins left="0.984251968503937" right="0" top="0.7874015748031497" bottom="0" header="0.5118110236220472" footer="0.5118110236220472"/>
  <pageSetup fitToWidth="0" fitToHeight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МКЭ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mordovenergosbyt</cp:lastModifiedBy>
  <cp:lastPrinted>2016-10-31T09:10:19Z</cp:lastPrinted>
  <dcterms:created xsi:type="dcterms:W3CDTF">2006-06-20T06:30:10Z</dcterms:created>
  <dcterms:modified xsi:type="dcterms:W3CDTF">2016-11-14T08:26:19Z</dcterms:modified>
  <cp:category/>
  <cp:version/>
  <cp:contentType/>
  <cp:contentStatus/>
</cp:coreProperties>
</file>